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70" yWindow="120" windowWidth="8160" windowHeight="8730" tabRatio="814" activeTab="0"/>
  </bookViews>
  <sheets>
    <sheet name="使用法説明" sheetId="1" r:id="rId1"/>
    <sheet name="解説" sheetId="2" r:id="rId2"/>
    <sheet name="対象指定ﾃﾞｰﾀ" sheetId="3" r:id="rId3"/>
    <sheet name="Ａ体情知" sheetId="4" r:id="rId4"/>
    <sheet name="体調相性" sheetId="5" r:id="rId5"/>
    <sheet name="情緒相性" sheetId="6" r:id="rId6"/>
    <sheet name="知性相性" sheetId="7" r:id="rId7"/>
    <sheet name="相手探" sheetId="8" r:id="rId8"/>
    <sheet name="皆で相談" sheetId="9" r:id="rId9"/>
    <sheet name="お願い" sheetId="10" r:id="rId10"/>
    <sheet name="ﾊﾞｲｵﾘｽﾞﾑ計算" sheetId="11" r:id="rId11"/>
  </sheets>
  <definedNames>
    <definedName name="__123Graph_A" hidden="1">'ﾊﾞｲｵﾘｽﾞﾑ計算'!$E$4:$E$34</definedName>
    <definedName name="__123Graph_Aバイオリズム" hidden="1">'ﾊﾞｲｵﾘｽﾞﾑ計算'!$E$4:$E$34</definedName>
    <definedName name="__123Graph_A体調相性" hidden="1">'ﾊﾞｲｵﾘｽﾞﾑ計算'!$E$4:$E$34</definedName>
    <definedName name="__123Graph_Bバイオリズム" hidden="1">'ﾊﾞｲｵﾘｽﾞﾑ計算'!$F$4:$F$34</definedName>
    <definedName name="__123Graph_B情緒相性" hidden="1">'ﾊﾞｲｵﾘｽﾞﾑ計算'!$F$4:$F$34</definedName>
    <definedName name="__123Graph_C" hidden="1">'ﾊﾞｲｵﾘｽﾞﾑ計算'!$J$4:$J$34</definedName>
    <definedName name="__123Graph_C体調相性" hidden="1">'ﾊﾞｲｵﾘｽﾞﾑ計算'!$J$4:$J$34</definedName>
    <definedName name="__123Graph_Dバイオリズム" hidden="1">'ﾊﾞｲｵﾘｽﾞﾑ計算'!$G$4:$G$34</definedName>
    <definedName name="__123Graph_D知性相性" hidden="1">'ﾊﾞｲｵﾘｽﾞﾑ計算'!$G$4:$G$34</definedName>
    <definedName name="__123Graph_E情緒相性" hidden="1">'ﾊﾞｲｵﾘｽﾞﾑ計算'!$K$4:$K$34</definedName>
    <definedName name="__123Graph_F知性相性" hidden="1">'ﾊﾞｲｵﾘｽﾞﾑ計算'!$L$4:$L$34</definedName>
    <definedName name="__123Graph_X" hidden="1">'ﾊﾞｲｵﾘｽﾞﾑ計算'!$C$4:$C$34</definedName>
    <definedName name="__123Graph_Xバイオリズム" hidden="1">'ﾊﾞｲｵﾘｽﾞﾑ計算'!$C$4:$C$34</definedName>
    <definedName name="__123Graph_X情緒相性" hidden="1">'ﾊﾞｲｵﾘｽﾞﾑ計算'!$C$4:$C$34</definedName>
    <definedName name="__123Graph_X体調相性" hidden="1">'ﾊﾞｲｵﾘｽﾞﾑ計算'!$C$4:$C$34</definedName>
    <definedName name="__123Graph_X知性相性" hidden="1">'ﾊﾞｲｵﾘｽﾞﾑ計算'!$C$4:$C$34</definedName>
    <definedName name="_Dist_Values" hidden="1">'対象指定ﾃﾞｰﾀ'!#REF!</definedName>
    <definedName name="_Fill" hidden="1">'対象指定ﾃﾞｰﾀ'!#REF!</definedName>
    <definedName name="_Key1" hidden="1">'対象指定ﾃﾞｰﾀ'!#REF!</definedName>
    <definedName name="_Key2" hidden="1">'対象指定ﾃﾞｰﾀ'!#REF!</definedName>
    <definedName name="_Order1" hidden="1">0</definedName>
    <definedName name="_Order2" hidden="1">1</definedName>
    <definedName name="_Regression_Int" localSheetId="2" hidden="1">1</definedName>
    <definedName name="_Sort" hidden="1">'対象指定ﾃﾞｰﾀ'!#REF!</definedName>
    <definedName name="\0">'対象指定ﾃﾞｰﾀ'!#REF!</definedName>
    <definedName name="\p">'対象指定ﾃﾞｰﾀ'!#REF!</definedName>
    <definedName name="\s">'対象指定ﾃﾞｰﾀ'!#REF!</definedName>
    <definedName name="_xlnm.Print_Area" localSheetId="9">'お願い'!$A$1:$H$42</definedName>
    <definedName name="_xlnm.Print_Area" localSheetId="1">'解説'!$A$1:$F$71</definedName>
  </definedNames>
  <calcPr fullCalcOnLoad="1"/>
</workbook>
</file>

<file path=xl/sharedStrings.xml><?xml version="1.0" encoding="utf-8"?>
<sst xmlns="http://schemas.openxmlformats.org/spreadsheetml/2006/main" count="583" uniqueCount="467">
  <si>
    <t>対象</t>
  </si>
  <si>
    <t>年</t>
  </si>
  <si>
    <t>月</t>
  </si>
  <si>
    <t>青文字の部分は自由に書き変えて下さい。</t>
  </si>
  <si>
    <t>誕生</t>
  </si>
  <si>
    <t>日</t>
  </si>
  <si>
    <t>氏名</t>
  </si>
  <si>
    <t>　Ａさんの対象月のﾊﾞｲｵﾘｽﾞﾑが分かります。</t>
  </si>
  <si>
    <t>Ａさん</t>
  </si>
  <si>
    <t>Ｂさん</t>
  </si>
  <si>
    <t>Ｃさん</t>
  </si>
  <si>
    <t>　詳しくは、解説のワークシートを見てください。</t>
  </si>
  <si>
    <t>Ｄさん</t>
  </si>
  <si>
    <t>Ｅさん</t>
  </si>
  <si>
    <t>ﾃﾞｰﾀﾊﾞﾝｸ↓№</t>
  </si>
  <si>
    <t>性別</t>
  </si>
  <si>
    <t xml:space="preserve"> ABO</t>
  </si>
  <si>
    <t xml:space="preserve"> 所属</t>
  </si>
  <si>
    <t xml:space="preserve"> 婚姻</t>
  </si>
  <si>
    <t xml:space="preserve"> 連絡</t>
  </si>
  <si>
    <t>備考</t>
  </si>
  <si>
    <t>皇太子徳仁</t>
  </si>
  <si>
    <t>皇太子妃雅子</t>
  </si>
  <si>
    <t>三浦友和</t>
  </si>
  <si>
    <t>ﾐｳﾗﾄﾓｶｽﾞ</t>
  </si>
  <si>
    <t>知性の特徴</t>
  </si>
  <si>
    <t>知性の相性</t>
  </si>
  <si>
    <t>共鳴度</t>
  </si>
  <si>
    <t>状態</t>
  </si>
  <si>
    <t>良い面</t>
  </si>
  <si>
    <t>悪い面</t>
  </si>
  <si>
    <t>対策</t>
  </si>
  <si>
    <t>会話のテンポが合いやすい。知的な会話が合いやすい。</t>
  </si>
  <si>
    <t>沈静時に危機に直面すると、二人とも良い知恵が出てこない。</t>
  </si>
  <si>
    <t>話が良く合う時と、相手に良い知恵を貸して上げられる時がある。</t>
  </si>
  <si>
    <t>知的な会話で、何となく物足りなく感ずることが多い。</t>
  </si>
  <si>
    <t>相手の価値観が解っていれば、相手が困っている時に、良い知恵を貸して上げられる。</t>
  </si>
  <si>
    <t>理屈っぽい話をしているとき、なかなか真意が伝わりにくい。</t>
  </si>
  <si>
    <t>情緒の特徴</t>
  </si>
  <si>
    <t>高揚している時は、ウキウキしたり、気持ちが高ぶったりします。　　沈静の時は、気持ちが落着き、慎重になります。　　高揚から沈静に移る時は、情緒の調子が狂って、不安を感じやすくなります。</t>
  </si>
  <si>
    <t>情緒の相性</t>
  </si>
  <si>
    <t>何となく、相手の気分と一体化しやすい。</t>
  </si>
  <si>
    <t>気分が一緒に盛り上がったり、一緒に落着きを味わったりしやすい。</t>
  </si>
  <si>
    <t>対立する事について、互いに強気に出て、時々正面からぶつかり合う。</t>
  </si>
  <si>
    <t>気持ちが通じる時と、すれ違って、噛み合わないように感じる時と半々くらい。</t>
  </si>
  <si>
    <t>気持ちの通じ合う時のうれしさがひとしお。</t>
  </si>
  <si>
    <t>気分のすれ違っている時を、切なく思えることがある。</t>
  </si>
  <si>
    <t>強気の時と弱気の時、ウキウキする時と落着いている時、二人の気分は大体反対になる。</t>
  </si>
  <si>
    <t>感情の面で、正面から対立することがない。押したり引いたり対等なシーソーのようにしていれば、不満も溜まらず対立も少ない。</t>
  </si>
  <si>
    <t>気分のテンションがほとんど合わない。強いて同調しようとすると疲れる。同調を期待するとしらける。</t>
  </si>
  <si>
    <t>体調の特徴</t>
  </si>
  <si>
    <t>高揚している時は、体力がみなぎり、頑張りが効きます。本能的な働きも強まります。　　沈静している時は、その反対。　　高揚から沈静に移る時は、体調を崩しやすく、無理がたたって風邪などを引きやすくなります。</t>
  </si>
  <si>
    <t>体調の相性</t>
  </si>
  <si>
    <t>本能的な呼吸が何となく合う。</t>
  </si>
  <si>
    <t>二人で一緒に風邪を引いたり、体調を崩したりする。</t>
  </si>
  <si>
    <t>二人で一緒に寝込むことは少ない。どちらかが看病役をはたせる。</t>
  </si>
  <si>
    <t>指定月のﾊﾞｲｵﾘｽﾞﾑﾃﾞｰﾀ</t>
  </si>
  <si>
    <t>生後日数</t>
  </si>
  <si>
    <t>体調</t>
  </si>
  <si>
    <t>情緒</t>
  </si>
  <si>
    <t>知性</t>
  </si>
  <si>
    <t>生後日差</t>
  </si>
  <si>
    <t/>
  </si>
  <si>
    <t>互いに突っ張っり合うと、対立が尾を引くかもしれない。気分を害した事への詫びや言い訳だけでも、早めに伝えた方が良い。対立が長引いた時の仲介者を確保しておくと良いでしょう。</t>
  </si>
  <si>
    <t>二人とも困ってしまった時、急場の知恵袋として相談に乗ってくれる人を確保しておくと良いでしょう。</t>
  </si>
  <si>
    <t>敬宮愛子内親王</t>
  </si>
  <si>
    <t>知性のバイオリズム周期は３３日です。</t>
  </si>
  <si>
    <t>情緒の周期は２８日です。</t>
  </si>
  <si>
    <t>体調の周期は２３日です。</t>
  </si>
  <si>
    <t>産まれた時をゼロとします。山を越えてゼロに戻り、谷を越えてゼロに戻ります。これが一つの周期になります。この繰り返しが</t>
  </si>
  <si>
    <t xml:space="preserve"> 体調</t>
  </si>
  <si>
    <t xml:space="preserve"> 情緒</t>
  </si>
  <si>
    <t xml:space="preserve"> 知性</t>
  </si>
  <si>
    <t>ヒントを与えてくれるものです。</t>
  </si>
  <si>
    <t>それを、実行されていらっしゃるのではないでしょうか。</t>
  </si>
  <si>
    <t>漫才のボケと突っ込みのように、役割を上手く使い分けながら、</t>
  </si>
  <si>
    <t>時期により、攻守をかえて接していれば、</t>
  </si>
  <si>
    <t>従って、既に円満にやっていらっしゃるコンビは、</t>
  </si>
  <si>
    <t>おそらく上手くやる為の交流パターンをいつの間にか発見され、</t>
  </si>
  <si>
    <t>シーソーゲームのように、対等の関係を楽しむこともできると推察します。</t>
  </si>
  <si>
    <t>喧嘩にならず、言いたいことが言える対等な関係が築けるかと、推察します。</t>
  </si>
  <si>
    <t>バイオリズムの相性は、あまり過敏に考えないで下さい。</t>
  </si>
  <si>
    <t>二人の交流パターンを、どのようにしたら、上手く関係が保てるか、</t>
  </si>
  <si>
    <t>高揚している方が、突っ込み役になり、（とは言っても相手を追い詰めないようにして）</t>
  </si>
  <si>
    <t>作成者からのお願い</t>
  </si>
  <si>
    <t>以下の考えに共感された方は､この計算ソフトのファイルをより多くの方々に</t>
  </si>
  <si>
    <t>もっと大変な状況下の人は、もっと苦しんでいるかと言えば､</t>
  </si>
  <si>
    <t>必ずしもそうではないようです。</t>
  </si>
  <si>
    <t>このあたりの事が、人間にとって、不思議な醍醐味かもしれません。</t>
  </si>
  <si>
    <t>大変な状況の中にあっても､その状況に慣れてくると、</t>
  </si>
  <si>
    <t>人と人の信頼関係も築きやすくなるかもしれません。</t>
  </si>
  <si>
    <t>信頼関係が無ければ、日本でとかく強調される『和』も、うわべだけになります。</t>
  </si>
  <si>
    <t>『和』は、とかく誤解されがちです。</t>
  </si>
  <si>
    <t>自分の思いや考えを抑え込んで、無個性、大勢順応になる事と思われがちです。</t>
  </si>
  <si>
    <t>信頼関係の基礎かもしれません。</t>
  </si>
  <si>
    <t>このような信頼関係の上に立った『和』ならば、</t>
  </si>
  <si>
    <t>各人の創意工夫が、上手に活かされ、組み合わされて、打開策が見つかるかもしれません。</t>
  </si>
  <si>
    <t>不安感も和らぎ、過剰な防衛策に走る事なく、前向きな行動に移れるはずです。</t>
  </si>
  <si>
    <t>各個人、各家庭、各企業団体が、信頼関係を取り戻せれば、</t>
  </si>
  <si>
    <t>無料でコピーし、差し上げてください。　　（2002年1月19日作成者より）</t>
  </si>
  <si>
    <t>自分自身の特性を理解し､相手の特性も理解し、その上で互いの持ち味を活かそうとする事が、</t>
  </si>
  <si>
    <t>不思議なことに、人間は、笑いやささやかな喜びさえ見つけ出してしまいます。</t>
  </si>
  <si>
    <t>人間の苦しみやストレスの元として、人間関係がよく取り上げられます。</t>
  </si>
  <si>
    <t>当人をとりまく状況は、苦しみのきっかけにはなるのでしょうが、</t>
  </si>
  <si>
    <t>苦しみを与えている本当の犯人は、本人自身の心かもしれません。</t>
  </si>
  <si>
    <t>人間関係に対する心の持ちようが変われば、苦しみも不安も随分軽くなるかもしれません。</t>
  </si>
  <si>
    <t>心の持ちようで、苦しみの強さが変わってしまうのは、誰でも経験することです。</t>
  </si>
  <si>
    <t>このバイオリズム計算のソフトは、自分自身や相手の特性を理解し､</t>
  </si>
  <si>
    <t>ただし、バイオリズムだけで、全てが分かるはずはありません。</t>
  </si>
  <si>
    <t>これも参考にされますよう、お薦めします。</t>
  </si>
  <si>
    <t>『エニアグラム』については、次のホームページをご覧になって下さい。</t>
  </si>
  <si>
    <t>http://www.enneagram.gr.jp/</t>
  </si>
  <si>
    <t>Ｄさん</t>
  </si>
  <si>
    <t>Ｆさん</t>
  </si>
  <si>
    <t>Ｇさん</t>
  </si>
  <si>
    <t>今の自分にとって、どんなに苦しい状況であっても、</t>
  </si>
  <si>
    <t>過去、現在、未来の他の人から見て、もっと大変な状況もあるはず。</t>
  </si>
  <si>
    <t>どんな苦しそうな状況の下でも、</t>
  </si>
  <si>
    <t>本田宗一郎</t>
  </si>
  <si>
    <t>ﾎﾝﾀﾞｿｳｲﾁﾛｳ</t>
  </si>
  <si>
    <t>藤沢武夫</t>
  </si>
  <si>
    <t>野口五郎</t>
  </si>
  <si>
    <t>ﾉｸﾞﾁｺﾞﾛｳ</t>
  </si>
  <si>
    <t>三井ゆり</t>
  </si>
  <si>
    <t>郷ひろみ</t>
  </si>
  <si>
    <t>ｺﾞｳﾋﾛﾐ</t>
  </si>
  <si>
    <t>二谷友里恵</t>
  </si>
  <si>
    <t>神田正輝</t>
  </si>
  <si>
    <t>松田聖子</t>
  </si>
  <si>
    <t>ｶﾝﾀﾞﾏｻｷ</t>
  </si>
  <si>
    <t>竹内まりや</t>
  </si>
  <si>
    <t>山下達郎</t>
  </si>
  <si>
    <t>ﾔﾏｼﾀﾀﾂﾛｳ</t>
  </si>
  <si>
    <t>岡江久美子</t>
  </si>
  <si>
    <t>大和田獏</t>
  </si>
  <si>
    <t>ｵｵﾜﾀﾞﾊﾞｸ</t>
  </si>
  <si>
    <t>和泉元彌</t>
  </si>
  <si>
    <t>ｲｽﾞﾐﾓﾄﾔ</t>
  </si>
  <si>
    <t>羽野晶紀</t>
  </si>
  <si>
    <t>宇崎竜童</t>
  </si>
  <si>
    <t>ｳｻﾞｷﾘｭｳﾄﾞｳ</t>
  </si>
  <si>
    <t>阿木燿子</t>
  </si>
  <si>
    <t>森進一</t>
  </si>
  <si>
    <t>ﾓﾘｼﾝｲﾁ</t>
  </si>
  <si>
    <t>森昌子</t>
  </si>
  <si>
    <t>ﾓﾘﾏｻｺ</t>
  </si>
  <si>
    <t>西郷輝彦</t>
  </si>
  <si>
    <t>ｻｲｺﾞｳﾃﾙﾋｺ</t>
  </si>
  <si>
    <t>辺見マリ</t>
  </si>
  <si>
    <t>愛川欽也</t>
  </si>
  <si>
    <t>ｱｲｶﾜｷﾝﾔ</t>
  </si>
  <si>
    <t>うつみ宮土理</t>
  </si>
  <si>
    <t>石坂浩二</t>
  </si>
  <si>
    <t>ｲｼｻﾞｶｺｳｼﾞ</t>
  </si>
  <si>
    <t>浅丘ルリ子</t>
  </si>
  <si>
    <t>松島菜々子</t>
  </si>
  <si>
    <t>反町隆史</t>
  </si>
  <si>
    <t>ｿﾘﾏﾁﾀｶｼ</t>
  </si>
  <si>
    <t>木村拓哉</t>
  </si>
  <si>
    <t>ｷﾑﾗﾀｸﾔ</t>
  </si>
  <si>
    <t>工藤静香</t>
  </si>
  <si>
    <t>渡辺徹</t>
  </si>
  <si>
    <t>ﾜﾀﾅﾍﾞﾄｵﾙ</t>
  </si>
  <si>
    <t>榊原郁恵</t>
  </si>
  <si>
    <t>相性の特性を考えるうえで、とても参考になるはずです。</t>
  </si>
  <si>
    <t>辺見エミリ</t>
  </si>
  <si>
    <t>　Ｂさんとの相性がﾊﾞｲｵﾘｽﾞﾑから推察できます。</t>
  </si>
  <si>
    <t>使用方法のご説明</t>
  </si>
  <si>
    <t>　例えば、「Ａ体情知」の見出しをクリックして、シートを開きますと、入力してある方の中から選んだＡさんの今月のバイオリズムのグラフが表示されます。</t>
  </si>
  <si>
    <t>天皇陛下明仁</t>
  </si>
  <si>
    <t>皇后陛下美智子</t>
  </si>
  <si>
    <t>松本人志</t>
  </si>
  <si>
    <t>浜田雅功</t>
  </si>
  <si>
    <t>西川きよし</t>
  </si>
  <si>
    <t>横山やすし</t>
  </si>
  <si>
    <t>秋篠宮文仁親王殿下</t>
  </si>
  <si>
    <t>山口百恵</t>
  </si>
  <si>
    <t>ﾊｶﾞｹﾝｼﾞ</t>
  </si>
  <si>
    <t>梅宮アンナ</t>
  </si>
  <si>
    <t>羽賀研二</t>
  </si>
  <si>
    <t>萩本欽一</t>
  </si>
  <si>
    <t>坂上二郎</t>
  </si>
  <si>
    <t>石橋貴明</t>
  </si>
  <si>
    <t>木梨憲武</t>
  </si>
  <si>
    <t>内村光良</t>
  </si>
  <si>
    <t>南原清隆</t>
  </si>
  <si>
    <t>太田光</t>
  </si>
  <si>
    <t>田中裕二</t>
  </si>
  <si>
    <t>オール阪神</t>
  </si>
  <si>
    <t>オール巨人</t>
  </si>
  <si>
    <t>有吉弘行</t>
  </si>
  <si>
    <t>森脇和成</t>
  </si>
  <si>
    <t>矢部浩之</t>
  </si>
  <si>
    <t>岡村隆史</t>
  </si>
  <si>
    <t>宮川大助</t>
  </si>
  <si>
    <t>宮川花子</t>
  </si>
  <si>
    <t>ﾐﾔｶﾞﾜﾀﾞｲｽｹ</t>
  </si>
  <si>
    <t>ﾐﾔｶﾞﾜﾊﾅｺ</t>
  </si>
  <si>
    <t>田村淳</t>
  </si>
  <si>
    <t>田村亮</t>
  </si>
  <si>
    <t>肥後克広</t>
  </si>
  <si>
    <t>寺門ジモン</t>
  </si>
  <si>
    <t>上島竜兵</t>
  </si>
  <si>
    <t>いかりや長介</t>
  </si>
  <si>
    <t>加藤茶</t>
  </si>
  <si>
    <t>荒井注</t>
  </si>
  <si>
    <t>高木ブー</t>
  </si>
  <si>
    <t>仲本工事</t>
  </si>
  <si>
    <t>志村けん</t>
  </si>
  <si>
    <t>秋篠宮親王妃紀子殿下</t>
  </si>
  <si>
    <t>黒田慶樹</t>
  </si>
  <si>
    <t>紀宮清子</t>
  </si>
  <si>
    <t>また、基本的には同様のものとして、『サイグラム』と言うものもあります。</t>
  </si>
  <si>
    <t>http://www.amazon.co.jp/exec/obidos/ASIN/4061178067/</t>
  </si>
  <si>
    <t>※→</t>
  </si>
  <si>
    <t>http://www.enneagram.gr.jp/check/index.html</t>
  </si>
  <si>
    <t>東国原英夫</t>
  </si>
  <si>
    <t>以下、データ入力範囲外</t>
  </si>
  <si>
    <t>ﾌﾘｶﾞﾅ</t>
  </si>
  <si>
    <t>ﾋｶﾞｼｺｸﾊﾞﾗﾋﾃﾞｵ</t>
  </si>
  <si>
    <t>架空人物</t>
  </si>
  <si>
    <t>かとうかず子</t>
  </si>
  <si>
    <t>知性の相性一覧</t>
  </si>
  <si>
    <t>20％以下</t>
  </si>
  <si>
    <t>テンポの良い会話は、なかなかできない。</t>
  </si>
  <si>
    <t>普段の何気ない交流で、互いの価値観を察知しておきましょう。二人で大事なことを話合うときは、理由などをメモに書き残しながら話し、２～３週間程度メモを見ながら考える期間を取り、その上で結論を出すと良いでしょう。</t>
  </si>
  <si>
    <t>バイオリズムの知性が高揚している時ほど、論理の筋道を考えやすくなり、気配りが良くなり、神経の集中力も持続します。また、他人の論理を理解するのもスムーズになります。沈静している時は、物事を単純に考えるようになり、理解力や気配り、神経の集中力などが弱くなります。</t>
  </si>
  <si>
    <t>20超～40％</t>
  </si>
  <si>
    <t>１ヶ月のうち、二人揃って知性が高揚し、テンポ良く会話できるのは、５日程度。</t>
  </si>
  <si>
    <t>理屈っぽい話が伝わりやすい時期は限られている。</t>
  </si>
  <si>
    <t>話がテンポ良く合う時期に相手の価値観を理解しておきましょう。考えがまとまらないときは、ゆっくり、少しずつ、相談を持ちかけてください。相談されたら、相手の価値観を尊重してアドバイスすると喜ばれます。</t>
  </si>
  <si>
    <t>40超～60％</t>
  </si>
  <si>
    <t>１ヶ月のうち、二人揃って知性が高揚し、テンポ良く会話できるのは、１週間程度。</t>
  </si>
  <si>
    <t>理屈っぽい話の通じる時には、十分話し合いをしておき、その他の時は、押し付けがましくない程度のアドバスを心掛けましょう。</t>
  </si>
  <si>
    <t>60超～80％</t>
  </si>
  <si>
    <t>１ヶ月のうち１１日程度、二人揃って知性が高揚し、テンポの良い会話で、相互理解が進む。</t>
  </si>
  <si>
    <t>会話のテンポが合うときが多いので、会話が合いやすい。</t>
  </si>
  <si>
    <t>１ヶ月に２回、５日間ほど、会話のテンポが合いにくい期間がある。</t>
  </si>
  <si>
    <t>左のように、会話のテンポが合わない時もある事をわきまえておき、そのときは、図解やメモ、身振り、手振り交えて意思疎通の為の努力をする。</t>
  </si>
  <si>
    <t>80％超</t>
  </si>
  <si>
    <t>１ヶ月の半分近く、テンポの良い会話が続き、相互理解がどんどん進む。</t>
  </si>
  <si>
    <t>図解は相互理解を促進します。方法は→</t>
  </si>
  <si>
    <t>http://www.mindmap.ne.jp/</t>
  </si>
  <si>
    <t>http://www.hisatune.net/html/02-kenkyuu/tyosaku/ichiran.htm</t>
  </si>
  <si>
    <t>情緒の相性一覧</t>
  </si>
  <si>
    <t>シーソーのように入れ替わることを前向きに活用して対等の心理関係を作る。相手が落ち込んでいるときの叱咤激励は、相手を追い詰めることになりやすいので、優しい気遣いで見守ることも大事です。</t>
  </si>
  <si>
    <t>１ヶ月のうち、二人の気分が合うのは、４日間程度ずつ２回。あとは、すれ違う。</t>
  </si>
  <si>
    <t>相手の好き嫌いが解っていれば、相手が弱気になっている時に、何気ない励ましをやんわりとして上げられる。</t>
  </si>
  <si>
    <t>気分のテンションが合いやすい時期は限られている。</t>
  </si>
  <si>
    <t>基本的には、気分のすれ違いは当然と割り切る。月２回、気分が合う時も、どちらかが情緒不安定になっているので、気楽な話題で楽しみ、深刻な話は、気分が落着くまで何日か待ちましょう。</t>
  </si>
  <si>
    <t>気分のすれ違いを深刻に考えない。通じ合う日はもう少し先。通じ合う喜びに感謝しましょう。</t>
  </si>
  <si>
    <t>１ヶ月のうち２０日程度は、二人の気分がよく揃う。</t>
  </si>
  <si>
    <t>気分の合うことが多く、一緒に居て安らぐ関係になりやすい。</t>
  </si>
  <si>
    <t>１ヶ月に２回、４日間ほど、気分のすれ違う期間がある。</t>
  </si>
  <si>
    <t>左のように、気分のすれ違う時もある事をわきまえておき、そのときは、お互いに相手の気分を尊重し、自分は自分、相手は相手、と割り切る。無理して合わせると疲れる。</t>
  </si>
  <si>
    <t>体調の相性一覧</t>
  </si>
  <si>
    <t>本能的な勢いが強くなったり弱くなったりが、二人の間で逆転している。</t>
  </si>
  <si>
    <t>相手に勢いのあるときは、押されがちになる。</t>
  </si>
  <si>
    <t>互いの勢いを、頼もしさ、あるいは、たくましさと感ずるような場面設定を活用しましょう。</t>
  </si>
  <si>
    <t>本能的な勢いの強弱に差を、感じることが多い。勢いが合うのは、３日間程度ずつ月２回。</t>
  </si>
  <si>
    <t>相手の体調が沈んでいるとき、不足をカバーしてやれる。異性の間であれば、性をあまり意識せず、中性的な感じ。</t>
  </si>
  <si>
    <t>異性の問では、性的な物足りなさを感ずるかもしれない。</t>
  </si>
  <si>
    <t>相手の体調を察して、それぞれのペースを尊重して下さい。性的な事は、女性側のペースに合わせた方が良いでしょう。</t>
  </si>
  <si>
    <t>本能的な勢いが合う時と、すれ違う時と半々くらい。</t>
  </si>
  <si>
    <t>体調ペースの合う時のうれしさがひとしお。</t>
  </si>
  <si>
    <t>ペースの合わないとき、相手に対しイラダチを感じるかもしれない。</t>
  </si>
  <si>
    <t>体調のすれ違いを深刻に考えない。合うときの喜びに感謝しましょう。</t>
  </si>
  <si>
    <t>１ヶ月のうち１６日程度は、二人のペースがよく揃う。</t>
  </si>
  <si>
    <t>体調のテンポが合うときが多いので、体を使うときの息が合いやすい。</t>
  </si>
  <si>
    <t>１ヶ月に２回、４日間ほど、息が合いにくい期間がある。</t>
  </si>
  <si>
    <t>左のように、息が合わない時もある事をわきまえておき、そのときは、無理をせず、相手のペースを尊重する。</t>
  </si>
  <si>
    <t>互いの頑張りが重なり、体力仕事で息が合いやすい。　異性の間であれば、互いの性的高まりを共有しやすい。　</t>
  </si>
  <si>
    <t>体調の崩れる時期は、互いに頑張り過ぎないよう気を付け合いましょう。</t>
  </si>
  <si>
    <t>＜　ご 注 意　＞</t>
  </si>
  <si>
    <t>必ずしも、共鳴度が高くないとダメと言う訳でもありません。</t>
  </si>
  <si>
    <t>例えば、知性の共鳴度が低いと言うことは、</t>
  </si>
  <si>
    <t>知性が沈静している方が、ボケ役になり、</t>
  </si>
  <si>
    <t>ここに書いた解説は、私の経験からの感想なので、他の方に通用するかどうか、</t>
  </si>
  <si>
    <t>確かとは言えないかもしれませんが、参考になれば、幸いです。</t>
  </si>
  <si>
    <t>サイグラムの概要については、無料の音声ダウンロードサービスがあります。</t>
  </si>
  <si>
    <t>次のホームページです。</t>
  </si>
  <si>
    <t>https://www.psygram.jp/introduction/download/win.php</t>
  </si>
  <si>
    <t>藤原紀香</t>
  </si>
  <si>
    <t>ﾌｼﾜﾗﾉﾘｶ</t>
  </si>
  <si>
    <t>陣内智則</t>
  </si>
  <si>
    <t>http://www.office-rose.com/enneagram/sitemap.html</t>
  </si>
  <si>
    <t>http://www.h2.dion.ne.jp/~knada/</t>
  </si>
  <si>
    <t>　対象の人の調子が分かったり、二人の相性や注意点がわかったり、グループで相談し合うときのタイミングなどの参考になります。有名人コンビやカップルのも分かるようにしておきましたので、ご自分でお試しください。けっこう当っていると思いませんか？　　科学的な根拠と言われても、答えに詰まってしまうのですが、講談社から発行のブルーバックスで「バイオリズムとは何か」※（１９７３年初版）があります。手に入ったら参考にして下さい。</t>
  </si>
  <si>
    <t>いかがでしょうか。</t>
  </si>
  <si>
    <t>相性</t>
  </si>
  <si>
    <t>共鳴度</t>
  </si>
  <si>
    <t>日数差</t>
  </si>
  <si>
    <t>体調</t>
  </si>
  <si>
    <t>情緒</t>
  </si>
  <si>
    <t>知性</t>
  </si>
  <si>
    <t>東国原英夫</t>
  </si>
  <si>
    <t>かとうかず子</t>
  </si>
  <si>
    <t>矢部浩之</t>
  </si>
  <si>
    <t>郷ひろみ</t>
  </si>
  <si>
    <t>二谷友里恵</t>
  </si>
  <si>
    <t>　「相手探」のシートは、氏名を入力しますと、生年月日を「対象指定データ」の中から自動的に探して表し、青字で表した方との共鳴度を計算して表します。もし分からなければ、エクセルを使っている方にお見せください。エクセルを使っている方であれば、以上の説明でお分かりになるはずです。</t>
  </si>
  <si>
    <t>　皆で相談のワークシートを見てください。</t>
  </si>
  <si>
    <t>　この画面の下の方に注目してください。「使用法説明・解説・対象指定データ・Ａ体情知・体調相性・情緒相性・知性相性・相手探・皆で相談・お願い・バイオリズム計算」と言った見出しが並んでいます。現在の画面は、「使用法説明」の見出しの付いたシートです。他のシートを見るときは、それぞれの見出しをクリックして下さい。</t>
  </si>
  <si>
    <t>　「対象指定データ」の見出しをクリックして、シートを開まきすと、左側で真中より上の方に、Ａさん、Ｂさんと表示してあります。そこに調べたい人の氏名を入力してください。また、その下の方のデータバンクの欄には、調べたい人の生年月日を、氏名と一緒に入力してください。そうしますと、パソコンが他の部分を自動的に計算します。</t>
  </si>
  <si>
    <t>鈴木敏夫</t>
  </si>
  <si>
    <t>宮崎駿</t>
  </si>
  <si>
    <t>Ｈさん</t>
  </si>
  <si>
    <t>ﾐｯｼｪﾙ･ｵﾊﾞﾏ</t>
  </si>
  <si>
    <t>ﾊﾞﾗｸ･ｵﾊﾞﾏ</t>
  </si>
  <si>
    <t>　Ａ～Ｈ皆で相談する良いﾀｲﾐﾝｸﾞが推察できます。</t>
  </si>
  <si>
    <t>http://www.amazon.co.jp/exec/obidos/ASIN/4492556192</t>
  </si>
  <si>
    <t>ソーシャル・スタイルのアプローチについては、『心の合鍵の見つけ方』の書籍を参考にしてください。</t>
  </si>
  <si>
    <t>ほかの見方、例えば、『エニアグラム（９つの性格）』による見方や、</t>
  </si>
  <si>
    <t>『ソーシャル・スタイルのアプローチ』による見方もあります。</t>
  </si>
  <si>
    <t>ﾊﾞﾗｸ･ｵﾊﾞﾏ</t>
  </si>
  <si>
    <t>ﾐｯｼｪﾙ･ｵﾊﾞﾏ</t>
  </si>
  <si>
    <t>平原綾香</t>
  </si>
  <si>
    <t>ﾋﾗﾊﾗｱﾔｶ</t>
  </si>
  <si>
    <t>福原愛</t>
  </si>
  <si>
    <t>ﾌｸﾊﾗｱｲ</t>
  </si>
  <si>
    <t>平秀信</t>
  </si>
  <si>
    <t>ﾋﾗﾋﾃﾞﾉﾌﾞ</t>
  </si>
  <si>
    <t>菅直人</t>
  </si>
  <si>
    <t>仙谷由人</t>
  </si>
  <si>
    <t>民主・衆</t>
  </si>
  <si>
    <t>枝野幸男</t>
  </si>
  <si>
    <t>小沢一郎</t>
  </si>
  <si>
    <t>前原誠司</t>
  </si>
  <si>
    <t>樽床伸二</t>
  </si>
  <si>
    <t>安倍晋三</t>
  </si>
  <si>
    <t>ｱｲｶﾜ/ｳﾂﾐﾐﾄﾞﾘ</t>
  </si>
  <si>
    <t>ｱﾒﾘｶ/ﾊﾞﾗｸ･ﾌｾｲﾝ･ｵﾊﾞﾏ</t>
  </si>
  <si>
    <t>ｱﾒﾘｶ/ﾐｼｪﾙ･ﾗﾎﾞ/ﾝ・ｵﾊﾞﾏ</t>
  </si>
  <si>
    <t>ｲｼｻﾞｶ/ｱｻｵｶﾙﾘｺ</t>
  </si>
  <si>
    <t>ｲｽﾞﾐ/ﾊﾉｱｷ</t>
  </si>
  <si>
    <t>ｳｻﾞｷ/ｱｷﾖｳｺ</t>
  </si>
  <si>
    <t>ｳｯﾁｬﾝﾅﾝﾁｬﾝ/ｳﾁﾑﾗﾃﾙﾖｼ</t>
  </si>
  <si>
    <t>ｳｯﾁｬﾝﾅﾝﾁｬﾝ/ﾅﾝﾊﾞﾗｷﾖﾀｶ</t>
  </si>
  <si>
    <t>ｵ/ﾙｷｮｼﾞﾝ</t>
  </si>
  <si>
    <t>ｵ/ﾙﾊﾝｼﾝ</t>
  </si>
  <si>
    <t>大島誠</t>
  </si>
  <si>
    <t>ｵｵｼﾏﾏｺﾄ</t>
  </si>
  <si>
    <t>市長候補</t>
  </si>
  <si>
    <t>ｵｵﾜﾀﾞ/ｵｶｴｸﾐｺ</t>
  </si>
  <si>
    <t>金子恵美</t>
  </si>
  <si>
    <t>ｶﾈｺﾒｸﾞﾐ</t>
  </si>
  <si>
    <t>新潟県会議員</t>
  </si>
  <si>
    <t>ｶﾝﾀﾞ/ﾏﾂﾀﾞｾｲｺ</t>
  </si>
  <si>
    <t>ｷﾑﾗ/ｸﾄﾞｳｼｽﾞｶ</t>
  </si>
  <si>
    <t>ｺﾞｳ/ﾆﾀﾆﾕﾘｴ</t>
  </si>
  <si>
    <t>ｺｳｿﾞｸ/ｱｷｼﾉﾐﾔｼﾝﾉｳﾋ･ｷｺﾃﾞﾝｶ</t>
  </si>
  <si>
    <t>ｺｳｿﾞｸ/ｱｷｼﾉﾐﾔﾌﾐﾋﾄｼﾝﾉｳﾃﾞﾝｶ</t>
  </si>
  <si>
    <t>ｺｳｿﾞｸ/ｸﾛﾀﾞﾖｼｷ</t>
  </si>
  <si>
    <t>ｺｳｿﾞｸ/ｺｳｺﾞｳﾍｲｶﾐﾁｺ</t>
  </si>
  <si>
    <t>ｺｳｿﾞｸ/ｺｳﾀｲｼﾅﾙﾋﾄ</t>
  </si>
  <si>
    <t>ｺｳｿﾞｸ/ｺｳﾀｲｼﾋﾏｻｺ</t>
  </si>
  <si>
    <t>ｺｳｿﾞｸ/ﾃﾝﾉｳﾍｲｶｱｷﾋﾄ</t>
  </si>
  <si>
    <t>ｺｳｿﾞｸ/ﾄｼﾉﾐﾔｱｲｺﾅｲｼﾝﾉｳ</t>
  </si>
  <si>
    <t>ｺｳｿﾞｸ/ﾉﾘﾉﾐﾔ･ｷﾖｺ</t>
  </si>
  <si>
    <t>ｺﾝﾄ55号ｻｶｶﾞﾐｼﾞﾛｳ</t>
  </si>
  <si>
    <t>ｺﾝﾄ55号ﾊｷﾞﾓﾄｷﾝｲﾁ</t>
  </si>
  <si>
    <t>ｻｲｺﾞｳ/ﾍﾝﾐｴﾐﾘ</t>
  </si>
  <si>
    <t>ｻｲｺﾞｳ/ﾍﾝﾐﾏﾘ</t>
  </si>
  <si>
    <t>ｻﾙｶﾞﾝｾｷ/ｱﾘﾖｼﾋﾛｲｷ</t>
  </si>
  <si>
    <t>ｻﾙｶﾞﾝｾｷ/ﾓﾘﾜｷｶｽﾞﾅﾘ</t>
  </si>
  <si>
    <t>ｼﾞﾌﾞﾘ/ｽｽﾞｷﾄｼｵ</t>
  </si>
  <si>
    <t>ｼﾞﾌﾞﾘ/ﾐﾔｻﾞｷﾊﾔｵ</t>
  </si>
  <si>
    <t>ｿﾘﾏﾁ/ﾏﾂｼﾏﾅﾅｺ</t>
  </si>
  <si>
    <t>ﾀﾞｳﾝﾀｳﾝ/ﾊﾏﾀﾞﾏｻﾄｼ</t>
  </si>
  <si>
    <t>ﾀﾞｳﾝﾀｳﾝ/ﾏﾂﾓﾄﾋﾄｼ</t>
  </si>
  <si>
    <t>ﾀﾞﾁｮｳｸﾗﾌﾞ/ｳｴｼﾏﾘｭｳﾍｲ</t>
  </si>
  <si>
    <t>ﾀﾞﾁｮｳｸﾗﾌﾞ/ﾃﾗｶﾄﾞｼﾞﾓﾝ</t>
  </si>
  <si>
    <t>ﾀﾞﾁｮｳｸﾗﾌﾞ/ﾋｺﾞｶﾂﾋﾛ</t>
  </si>
  <si>
    <t>ﾄﾞﾘﾌ/ｱﾗｲﾁｭｳ</t>
  </si>
  <si>
    <t>ﾄﾞﾘﾌ/ｲｶﾘﾔﾁｮｳｽｹ</t>
  </si>
  <si>
    <t>ﾄﾞﾘﾌ/ｶﾄｳﾁｬ</t>
  </si>
  <si>
    <t>ﾄﾞﾘﾌ/ｼﾑﾗｹﾝ</t>
  </si>
  <si>
    <t>ﾄﾞﾘﾌ/ﾀｶｷﾞﾌﾞ/</t>
  </si>
  <si>
    <t>ﾄﾞﾘﾌ/ﾅｶﾓﾄｺｳｼﾞ</t>
  </si>
  <si>
    <t>ﾄﾝﾈﾙｽﾞ/ｲｼﾊﾞｼﾀｶｱｷ</t>
  </si>
  <si>
    <t>ﾄﾝﾈﾙｽﾞ/ｷﾅｼﾉﾘﾀｹ</t>
  </si>
  <si>
    <t>ﾅｲﾝﾃｨﾅｲﾝ/ｵｶﾑﾗﾀｶｼ</t>
  </si>
  <si>
    <t>ﾅｲﾝﾃｨﾅｲﾝ/ﾔﾍﾞﾋﾛﾕｷ</t>
  </si>
  <si>
    <t>ﾉｸﾞﾁ/ﾐﾂｲﾕﾘ</t>
  </si>
  <si>
    <t>ﾊｶﾞ/ｳﾒﾐﾔｱﾝﾅ</t>
  </si>
  <si>
    <t>ﾊﾞｸﾓﾝ/ｵｵﾀﾋｶﾘ</t>
  </si>
  <si>
    <t>ﾊﾞｸﾓﾝ/ﾀﾅｶﾕｳｼﾞ</t>
  </si>
  <si>
    <t>ﾋｶﾞｼｺｸﾊﾞﾗ/ｶﾄｳｶｽﾞｺ</t>
  </si>
  <si>
    <t>福田衣里子</t>
  </si>
  <si>
    <t>ﾌｸﾀﾞｴﾘｺ</t>
  </si>
  <si>
    <t>衆議院</t>
  </si>
  <si>
    <t>ﾌｼﾞﾜﾗ/ｼﾞﾝﾅｲﾄﾓﾉﾘ</t>
  </si>
  <si>
    <t>ﾎﾝﾀﾞ/ﾌｼﾞｻﾜﾀｹｵ</t>
  </si>
  <si>
    <t>ﾐｳﾗ/ﾔﾏｸﾞﾁﾓﾓｴ</t>
  </si>
  <si>
    <t>ﾔｽｼｷﾖｼ/ﾆｼｶﾜｷﾖｼ</t>
  </si>
  <si>
    <t>ﾔｽｼｷﾖｼ/ﾖｺﾔﾏﾔｽｼ</t>
  </si>
  <si>
    <t>ﾔﾏｼﾀ/ﾀｹｳﾁﾏﾘﾔ</t>
  </si>
  <si>
    <t>ﾛﾝﾄﾞﾝﾌﾞ/ﾂ/ﾀﾑﾗｱﾂｼ</t>
  </si>
  <si>
    <t>ﾛﾝﾄﾞﾝﾌﾞ/ﾂ/ﾀﾑﾗﾘｮｳ</t>
  </si>
  <si>
    <t>ﾜﾀﾅﾍﾞ/ｻｶｷﾊﾞﾗｲｸｴ</t>
  </si>
  <si>
    <t>海江田万里</t>
  </si>
  <si>
    <t>片山善博</t>
  </si>
  <si>
    <t>江田五月</t>
  </si>
  <si>
    <t>鹿野道彦</t>
  </si>
  <si>
    <t>北澤俊美</t>
  </si>
  <si>
    <t>平野達男</t>
  </si>
  <si>
    <t>村田蓮舫</t>
  </si>
  <si>
    <t>細野豪志</t>
  </si>
  <si>
    <t>与謝野馨</t>
  </si>
  <si>
    <t>玄葉光一</t>
  </si>
  <si>
    <t>野田佳彦</t>
  </si>
  <si>
    <t>元総務大臣</t>
  </si>
  <si>
    <t>民主・参</t>
  </si>
  <si>
    <t>元特命大臣</t>
  </si>
  <si>
    <t>ｶﾝﾅｲｶｸ/ｾﾝｺﾞｸ ﾖｼﾄ</t>
  </si>
  <si>
    <t>ｶﾝﾅｲｶｸ/ｴﾀﾞﾉ ﾕｷｵ</t>
  </si>
  <si>
    <t>ｶﾝﾅｲｶｸ/ﾏｴﾊﾗ ｾｲｼﾞ</t>
  </si>
  <si>
    <t>ｶﾝﾅｲｶｸ/ﾀﾙﾄｺｼﾝｼﾞ</t>
  </si>
  <si>
    <t>ｶﾝﾅｲｶｸ/ｶｲｳﾀﾞﾊﾞﾝﾘ</t>
  </si>
  <si>
    <t>ｶﾝﾅｲｶｸ/ｶﾀﾔﾏﾖｼﾋﾛ</t>
  </si>
  <si>
    <t>ｶﾝﾅｲｶｸ/ｴﾀﾞｻﾂｷ</t>
  </si>
  <si>
    <t>ｶﾝﾅｲｶｸ/ｶﾉﾐﾁﾋｺ</t>
  </si>
  <si>
    <t>ｶﾝﾅｲｶｸ/ｷﾀｻﾞﾜﾄｼﾐ</t>
  </si>
  <si>
    <t>ｶﾝﾅｲｶｸ/ﾋﾗﾉﾀﾂｵ</t>
  </si>
  <si>
    <t>ｶﾝﾅｲｶｸ/ﾑﾗﾀﾚﾝﾎｳ</t>
  </si>
  <si>
    <t>ｶﾝﾅｲｶｸ/ﾎｿﾉｺﾞｳｼ</t>
  </si>
  <si>
    <t>ｶﾝﾅｲｶｸ/ﾖｻﾉｶｵﾙ</t>
  </si>
  <si>
    <t>ｶﾝﾅｲｶｸ/ｹﾞﾝﾊﾞｺｳｲﾁ</t>
  </si>
  <si>
    <t>ｶﾝﾅｲｶｸ/ﾉﾀﾞﾖｼﾋｺ</t>
  </si>
  <si>
    <t>衆議院岩手4</t>
  </si>
  <si>
    <t>ｵｻﾞﾜｲﾁﾛｳ</t>
  </si>
  <si>
    <t>ｱﾍﾞﾅｲｶｸ</t>
  </si>
  <si>
    <t>ｶﾝﾅｲｶｸ</t>
  </si>
  <si>
    <t>自民・衆</t>
  </si>
  <si>
    <t>麻生太郎</t>
  </si>
  <si>
    <t>新藤義孝</t>
  </si>
  <si>
    <t>谷垣禎一</t>
  </si>
  <si>
    <t>岸田文雄</t>
  </si>
  <si>
    <t>下村博文</t>
  </si>
  <si>
    <t>林芳正</t>
  </si>
  <si>
    <t>自民・参</t>
  </si>
  <si>
    <t>茂木敏充</t>
  </si>
  <si>
    <t>石原伸晃</t>
  </si>
  <si>
    <t>小野寺五典</t>
  </si>
  <si>
    <t>菅義偉</t>
  </si>
  <si>
    <t>根本匠</t>
  </si>
  <si>
    <t>甘利明</t>
  </si>
  <si>
    <t>稲田朋美</t>
  </si>
  <si>
    <t>ｱﾍﾞﾅｲｶｸ/ｱｿｳﾀﾛｳ</t>
  </si>
  <si>
    <t>ｱﾍﾞﾅｲｶｸ/ｼﾝﾄﾞｳﾖｼﾀｶ</t>
  </si>
  <si>
    <t>ｱﾍﾞﾅｲｶｸ/ﾀﾆｶﾞｷｻﾀﾞｶｽﾞ</t>
  </si>
  <si>
    <t>ｱﾍﾞﾅｲｶｸ/ｷｼﾀﾞﾌﾐｵ</t>
  </si>
  <si>
    <t>ｱﾍﾞﾅｲｶｸ/ｼﾓﾑﾗﾋﾛﾌﾐ</t>
  </si>
  <si>
    <t>ｱﾍﾞﾅｲｶｸ/ﾊﾔｼﾖｼﾏｻ</t>
  </si>
  <si>
    <t>ｱﾍﾞﾅｲｶｸ/ﾓﾃｷﾞﾄｼﾐﾂ</t>
  </si>
  <si>
    <t>ｱﾍﾞﾅｲｶｸ/ｲｼﾊﾗﾉﾌﾞﾃﾙ</t>
  </si>
  <si>
    <t>ｱﾍﾞﾅｲｶｸ/ｵﾉﾃﾞﾗｲﾂﾉﾘ</t>
  </si>
  <si>
    <t>ｱﾍﾞﾅｲｶｸ/ｽｶﾞﾖｼﾋﾃﾞ</t>
  </si>
  <si>
    <t>ｱﾍﾞﾅｲｶｸ/ﾈﾓﾄﾀｸﾐ</t>
  </si>
  <si>
    <t>ｱﾍﾞﾅｲｶｸ/ｱﾏﾘｱｷﾗ</t>
  </si>
  <si>
    <t>ｱﾍﾞﾅｲｶｸ/ｲﾅﾀﾞﾄﾓﾐ</t>
  </si>
  <si>
    <t>岸田文雄</t>
  </si>
  <si>
    <t>菅義偉</t>
  </si>
  <si>
    <t>参考ホームページ：</t>
  </si>
  <si>
    <t>http://www.taiwa.org/kiso.html</t>
  </si>
  <si>
    <t>互いに理解を深めたり、気持ちを通わせるには、相性が全てではありません。あくまで一つの目安です。</t>
  </si>
  <si>
    <t>通じ易さを早めに予測しようと言うだけです。もっと大事なのは、相手の話を上手に受止めて聞くことです。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</si>
</sst>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mm/dd"/>
    <numFmt numFmtId="178" formatCode="0_ "/>
    <numFmt numFmtId="179" formatCode="&quot;Yes&quot;;&quot;Yes&quot;;&quot;No&quot;"/>
    <numFmt numFmtId="180" formatCode="&quot;True&quot;;&quot;True&quot;;&quot;False&quot;"/>
    <numFmt numFmtId="181" formatCode="&quot;On&quot;;&quot;On&quot;;&quot;Off&quot;"/>
  </numFmts>
  <fonts count="53">
    <font>
      <sz val="14"/>
      <name val="ＭＳ 明朝"/>
      <family val="1"/>
    </font>
    <font>
      <sz val="11"/>
      <name val="ＭＳ Ｐゴシック"/>
      <family val="3"/>
    </font>
    <font>
      <sz val="14"/>
      <color indexed="12"/>
      <name val="ＭＳ 明朝"/>
      <family val="1"/>
    </font>
    <font>
      <u val="single"/>
      <sz val="14"/>
      <name val="ＭＳ 明朝"/>
      <family val="1"/>
    </font>
    <font>
      <sz val="7"/>
      <name val="ＭＳ 明朝"/>
      <family val="1"/>
    </font>
    <font>
      <sz val="14"/>
      <color indexed="10"/>
      <name val="ＭＳ 明朝"/>
      <family val="1"/>
    </font>
    <font>
      <sz val="11"/>
      <name val="ＭＳ 明朝"/>
      <family val="1"/>
    </font>
    <font>
      <u val="single"/>
      <sz val="14"/>
      <color indexed="12"/>
      <name val="ＭＳ 明朝"/>
      <family val="1"/>
    </font>
    <font>
      <u val="single"/>
      <sz val="14"/>
      <color indexed="36"/>
      <name val="ＭＳ 明朝"/>
      <family val="1"/>
    </font>
    <font>
      <b/>
      <sz val="14"/>
      <color indexed="52"/>
      <name val="ＭＳ ゴシック"/>
      <family val="3"/>
    </font>
    <font>
      <sz val="14"/>
      <color indexed="57"/>
      <name val="ＭＳ 明朝"/>
      <family val="1"/>
    </font>
    <font>
      <sz val="12"/>
      <name val="ＭＳ 明朝"/>
      <family val="1"/>
    </font>
    <font>
      <b/>
      <sz val="14"/>
      <color indexed="10"/>
      <name val="ＭＳ ゴシック"/>
      <family val="3"/>
    </font>
    <font>
      <u val="single"/>
      <sz val="11"/>
      <color indexed="12"/>
      <name val="ＭＳ 明朝"/>
      <family val="1"/>
    </font>
    <font>
      <b/>
      <sz val="14"/>
      <name val="ＭＳ ゴシック"/>
      <family val="3"/>
    </font>
    <font>
      <sz val="10"/>
      <name val="ＭＳ 明朝"/>
      <family val="1"/>
    </font>
    <font>
      <u val="single"/>
      <sz val="12"/>
      <color indexed="12"/>
      <name val="ＭＳ 明朝"/>
      <family val="1"/>
    </font>
    <font>
      <sz val="11"/>
      <color indexed="10"/>
      <name val="ＭＳ 明朝"/>
      <family val="1"/>
    </font>
    <font>
      <sz val="11"/>
      <color indexed="8"/>
      <name val="ＭＳ Ｐゴシック"/>
      <family val="3"/>
    </font>
    <font>
      <sz val="10.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darkGray">
        <fgColor indexed="9"/>
        <bgColor indexed="11"/>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style="thin"/>
      <top style="medium"/>
      <bottom style="thin"/>
    </border>
    <border>
      <left style="medium"/>
      <right>
        <color indexed="63"/>
      </right>
      <top style="thin"/>
      <bottom style="medium"/>
    </border>
    <border>
      <left>
        <color indexed="63"/>
      </left>
      <right style="thin"/>
      <top style="thin"/>
      <bottom style="medium"/>
    </border>
    <border>
      <left style="medium"/>
      <right style="thin"/>
      <top style="thin"/>
      <bottom style="medium"/>
    </border>
    <border>
      <left>
        <color indexed="63"/>
      </left>
      <right>
        <color indexed="63"/>
      </right>
      <top style="medium"/>
      <bottom>
        <color indexed="63"/>
      </bottom>
    </border>
    <border>
      <left style="medium">
        <color indexed="10"/>
      </left>
      <right style="medium">
        <color indexed="10"/>
      </right>
      <top style="medium">
        <color indexed="10"/>
      </top>
      <bottom style="medium">
        <color indexed="10"/>
      </bottom>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8" fillId="0" borderId="0" applyNumberFormat="0" applyFill="0" applyBorder="0" applyAlignment="0" applyProtection="0"/>
    <xf numFmtId="0" fontId="52" fillId="32" borderId="0" applyNumberFormat="0" applyBorder="0" applyAlignment="0" applyProtection="0"/>
  </cellStyleXfs>
  <cellXfs count="117">
    <xf numFmtId="0" fontId="0" fillId="0" borderId="0" xfId="0" applyAlignment="1">
      <alignment/>
    </xf>
    <xf numFmtId="0" fontId="0" fillId="0" borderId="0" xfId="0"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protection/>
    </xf>
    <xf numFmtId="0" fontId="2" fillId="0" borderId="10" xfId="0" applyFont="1" applyBorder="1" applyAlignment="1" applyProtection="1">
      <alignment/>
      <protection locked="0"/>
    </xf>
    <xf numFmtId="0" fontId="3" fillId="0" borderId="0" xfId="0" applyFont="1" applyAlignment="1" applyProtection="1">
      <alignment/>
      <protection/>
    </xf>
    <xf numFmtId="0" fontId="2" fillId="0" borderId="0" xfId="0" applyFont="1" applyAlignment="1" applyProtection="1">
      <alignment/>
      <protection locked="0"/>
    </xf>
    <xf numFmtId="0" fontId="3" fillId="0" borderId="0" xfId="0" applyFont="1" applyAlignment="1" applyProtection="1">
      <alignmen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protection locked="0"/>
    </xf>
    <xf numFmtId="37" fontId="0" fillId="0" borderId="0" xfId="0" applyNumberFormat="1" applyAlignment="1" applyProtection="1">
      <alignment horizontal="center"/>
      <protection/>
    </xf>
    <xf numFmtId="37" fontId="0" fillId="0" borderId="0" xfId="0" applyNumberFormat="1" applyAlignment="1" applyProtection="1">
      <alignment/>
      <protection/>
    </xf>
    <xf numFmtId="1" fontId="0" fillId="0" borderId="0" xfId="0" applyNumberFormat="1" applyAlignment="1" applyProtection="1">
      <alignment/>
      <protection/>
    </xf>
    <xf numFmtId="176" fontId="2" fillId="0" borderId="0" xfId="0" applyNumberFormat="1" applyFont="1" applyAlignment="1" applyProtection="1">
      <alignment horizontal="left"/>
      <protection locked="0"/>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Alignment="1" applyProtection="1">
      <alignment horizontal="right"/>
      <protection/>
    </xf>
    <xf numFmtId="0" fontId="0" fillId="0" borderId="0" xfId="0" applyAlignment="1">
      <alignment horizontal="right"/>
    </xf>
    <xf numFmtId="0" fontId="2" fillId="0" borderId="14" xfId="0" applyNumberFormat="1" applyFont="1" applyBorder="1" applyAlignment="1" applyProtection="1">
      <alignment/>
      <protection locked="0"/>
    </xf>
    <xf numFmtId="0" fontId="0" fillId="0" borderId="15" xfId="0" applyBorder="1" applyAlignment="1" applyProtection="1">
      <alignment horizontal="center"/>
      <protection/>
    </xf>
    <xf numFmtId="0" fontId="2" fillId="0" borderId="14" xfId="0" applyFont="1" applyBorder="1" applyAlignment="1" applyProtection="1">
      <alignment/>
      <protection locked="0"/>
    </xf>
    <xf numFmtId="0" fontId="5" fillId="0" borderId="0" xfId="0" applyFont="1" applyAlignment="1">
      <alignment/>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0" fontId="0" fillId="33" borderId="20" xfId="0" applyFill="1" applyBorder="1" applyAlignment="1">
      <alignment horizontal="center"/>
    </xf>
    <xf numFmtId="0" fontId="0" fillId="33" borderId="21" xfId="0" applyFill="1" applyBorder="1" applyAlignment="1">
      <alignment horizontal="center"/>
    </xf>
    <xf numFmtId="0" fontId="9" fillId="0" borderId="0" xfId="0" applyFont="1" applyAlignment="1">
      <alignment/>
    </xf>
    <xf numFmtId="0" fontId="10" fillId="0" borderId="0" xfId="0" applyFont="1" applyAlignment="1" applyProtection="1">
      <alignment/>
      <protection locked="0"/>
    </xf>
    <xf numFmtId="0" fontId="2" fillId="0" borderId="0" xfId="0" applyFont="1" applyAlignment="1" applyProtection="1">
      <alignment/>
      <protection/>
    </xf>
    <xf numFmtId="0" fontId="0" fillId="0" borderId="0" xfId="0" applyAlignment="1">
      <alignment horizontal="center"/>
    </xf>
    <xf numFmtId="0" fontId="2" fillId="0" borderId="22" xfId="0" applyFont="1" applyBorder="1" applyAlignment="1" applyProtection="1">
      <alignment/>
      <protection locked="0"/>
    </xf>
    <xf numFmtId="0" fontId="2" fillId="0" borderId="0" xfId="0" applyFont="1" applyBorder="1" applyAlignment="1" applyProtection="1">
      <alignment horizontal="left" shrinkToFit="1"/>
      <protection locked="0"/>
    </xf>
    <xf numFmtId="0" fontId="2" fillId="0" borderId="22" xfId="0" applyFont="1" applyBorder="1" applyAlignment="1" applyProtection="1">
      <alignment horizontal="left"/>
      <protection locked="0"/>
    </xf>
    <xf numFmtId="0" fontId="11" fillId="0" borderId="0" xfId="0" applyFont="1" applyAlignment="1">
      <alignment/>
    </xf>
    <xf numFmtId="0" fontId="11" fillId="0" borderId="0" xfId="0" applyFont="1" applyAlignment="1">
      <alignment horizontal="left" vertical="center"/>
    </xf>
    <xf numFmtId="0" fontId="6" fillId="0" borderId="0" xfId="0" applyFont="1" applyBorder="1" applyAlignment="1">
      <alignment vertical="center"/>
    </xf>
    <xf numFmtId="14" fontId="0" fillId="0" borderId="0" xfId="0" applyNumberFormat="1" applyAlignment="1">
      <alignment/>
    </xf>
    <xf numFmtId="0" fontId="6" fillId="0" borderId="0" xfId="0" applyFont="1" applyAlignment="1">
      <alignment/>
    </xf>
    <xf numFmtId="0" fontId="2" fillId="0" borderId="16" xfId="0" applyNumberFormat="1" applyFont="1" applyBorder="1" applyAlignment="1" applyProtection="1">
      <alignment/>
      <protection locked="0"/>
    </xf>
    <xf numFmtId="0" fontId="7" fillId="0" borderId="0" xfId="43" applyFont="1" applyAlignment="1" applyProtection="1">
      <alignment/>
      <protection/>
    </xf>
    <xf numFmtId="0" fontId="7" fillId="0" borderId="0" xfId="43" applyAlignment="1" applyProtection="1">
      <alignment/>
      <protection/>
    </xf>
    <xf numFmtId="176" fontId="11" fillId="0" borderId="0" xfId="0" applyNumberFormat="1" applyFont="1" applyAlignment="1">
      <alignment/>
    </xf>
    <xf numFmtId="176" fontId="11" fillId="34" borderId="0" xfId="0" applyNumberFormat="1" applyFont="1" applyFill="1" applyAlignment="1">
      <alignment/>
    </xf>
    <xf numFmtId="0" fontId="11" fillId="34" borderId="0" xfId="0" applyFont="1" applyFill="1" applyBorder="1" applyAlignment="1">
      <alignment/>
    </xf>
    <xf numFmtId="0" fontId="0" fillId="34" borderId="0" xfId="0" applyFill="1" applyAlignment="1">
      <alignment/>
    </xf>
    <xf numFmtId="0" fontId="11" fillId="34" borderId="0" xfId="0" applyFont="1" applyFill="1" applyAlignment="1">
      <alignment/>
    </xf>
    <xf numFmtId="0" fontId="2" fillId="0" borderId="23" xfId="0" applyFont="1" applyBorder="1" applyAlignment="1" applyProtection="1">
      <alignment horizontal="left"/>
      <protection locked="0"/>
    </xf>
    <xf numFmtId="0" fontId="7" fillId="0" borderId="0" xfId="43" applyFont="1" applyAlignment="1" applyProtection="1">
      <alignment vertical="center" shrinkToFit="1"/>
      <protection/>
    </xf>
    <xf numFmtId="0" fontId="7" fillId="34" borderId="0" xfId="43" applyFont="1" applyFill="1" applyAlignment="1" applyProtection="1">
      <alignment/>
      <protection/>
    </xf>
    <xf numFmtId="0" fontId="13" fillId="34" borderId="0" xfId="43" applyFont="1" applyFill="1" applyAlignment="1" applyProtection="1">
      <alignment/>
      <protection/>
    </xf>
    <xf numFmtId="0" fontId="6" fillId="0" borderId="0" xfId="0" applyFont="1" applyAlignment="1">
      <alignment horizontal="right"/>
    </xf>
    <xf numFmtId="0" fontId="2" fillId="0" borderId="10"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5" fillId="35" borderId="0" xfId="0" applyFont="1" applyFill="1" applyBorder="1" applyAlignment="1" applyProtection="1">
      <alignment/>
      <protection/>
    </xf>
    <xf numFmtId="0" fontId="5" fillId="35" borderId="25" xfId="0" applyNumberFormat="1" applyFont="1" applyFill="1" applyBorder="1" applyAlignment="1" applyProtection="1">
      <alignment horizontal="left"/>
      <protection locked="0"/>
    </xf>
    <xf numFmtId="0" fontId="5" fillId="35" borderId="25" xfId="0" applyNumberFormat="1" applyFont="1" applyFill="1" applyBorder="1" applyAlignment="1" applyProtection="1">
      <alignment/>
      <protection locked="0"/>
    </xf>
    <xf numFmtId="0" fontId="5" fillId="35" borderId="25" xfId="0" applyFont="1" applyFill="1" applyBorder="1" applyAlignment="1" applyProtection="1">
      <alignment horizontal="left"/>
      <protection locked="0"/>
    </xf>
    <xf numFmtId="0" fontId="5" fillId="35" borderId="25" xfId="0" applyFont="1" applyFill="1" applyBorder="1" applyAlignment="1" applyProtection="1">
      <alignment/>
      <protection locked="0"/>
    </xf>
    <xf numFmtId="0" fontId="0" fillId="35" borderId="0" xfId="0" applyFill="1" applyAlignment="1">
      <alignment/>
    </xf>
    <xf numFmtId="0" fontId="0" fillId="35" borderId="10" xfId="0" applyNumberFormat="1" applyFont="1" applyFill="1" applyBorder="1" applyAlignment="1" applyProtection="1">
      <alignment horizontal="center"/>
      <protection locked="0"/>
    </xf>
    <xf numFmtId="0" fontId="0" fillId="35" borderId="10" xfId="0" applyNumberFormat="1" applyFill="1" applyBorder="1" applyAlignment="1" applyProtection="1">
      <alignment horizontal="center"/>
      <protection/>
    </xf>
    <xf numFmtId="0" fontId="0" fillId="35" borderId="10" xfId="0" applyFont="1" applyFill="1" applyBorder="1" applyAlignment="1" applyProtection="1">
      <alignment horizontal="center"/>
      <protection locked="0"/>
    </xf>
    <xf numFmtId="0" fontId="0" fillId="35" borderId="10" xfId="0" applyFill="1" applyBorder="1" applyAlignment="1" applyProtection="1">
      <alignment horizontal="left"/>
      <protection/>
    </xf>
    <xf numFmtId="0" fontId="0" fillId="35" borderId="10" xfId="0" applyFill="1" applyBorder="1" applyAlignment="1" applyProtection="1">
      <alignment horizontal="center"/>
      <protection/>
    </xf>
    <xf numFmtId="0" fontId="2" fillId="0" borderId="26" xfId="0" applyNumberFormat="1" applyFont="1" applyBorder="1" applyAlignment="1" applyProtection="1">
      <alignment/>
      <protection locked="0"/>
    </xf>
    <xf numFmtId="0" fontId="2" fillId="0" borderId="0" xfId="0" applyNumberFormat="1" applyFont="1" applyBorder="1" applyAlignment="1" applyProtection="1">
      <alignment/>
      <protection locked="0"/>
    </xf>
    <xf numFmtId="0" fontId="2" fillId="0" borderId="27" xfId="0" applyNumberFormat="1" applyFont="1" applyBorder="1" applyAlignment="1" applyProtection="1">
      <alignment/>
      <protection locked="0"/>
    </xf>
    <xf numFmtId="0" fontId="2" fillId="0" borderId="11" xfId="0" applyNumberFormat="1" applyFont="1" applyBorder="1" applyAlignment="1" applyProtection="1">
      <alignment/>
      <protection locked="0"/>
    </xf>
    <xf numFmtId="0" fontId="2" fillId="0" borderId="12" xfId="0" applyFont="1" applyBorder="1" applyAlignment="1" applyProtection="1">
      <alignment horizontal="left"/>
      <protection locked="0"/>
    </xf>
    <xf numFmtId="0" fontId="2" fillId="0" borderId="26" xfId="0" applyFont="1" applyBorder="1" applyAlignment="1" applyProtection="1">
      <alignment/>
      <protection locked="0"/>
    </xf>
    <xf numFmtId="0" fontId="2" fillId="0" borderId="12" xfId="0" applyFont="1" applyBorder="1" applyAlignment="1" applyProtection="1">
      <alignment horizontal="left" shrinkToFit="1"/>
      <protection locked="0"/>
    </xf>
    <xf numFmtId="0" fontId="2" fillId="0" borderId="12" xfId="0" applyNumberFormat="1" applyFont="1" applyBorder="1" applyAlignment="1" applyProtection="1">
      <alignment/>
      <protection locked="0"/>
    </xf>
    <xf numFmtId="0" fontId="2" fillId="0" borderId="12" xfId="0" applyNumberFormat="1"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28" xfId="0" applyFont="1" applyBorder="1" applyAlignment="1" applyProtection="1">
      <alignment/>
      <protection locked="0"/>
    </xf>
    <xf numFmtId="178" fontId="6" fillId="33" borderId="29" xfId="0" applyNumberFormat="1" applyFont="1" applyFill="1" applyBorder="1" applyAlignment="1" quotePrefix="1">
      <alignment horizontal="center" vertical="center"/>
    </xf>
    <xf numFmtId="0" fontId="6" fillId="33" borderId="15" xfId="0" applyFont="1" applyFill="1" applyBorder="1" applyAlignment="1" quotePrefix="1">
      <alignment vertical="center"/>
    </xf>
    <xf numFmtId="0" fontId="14" fillId="0" borderId="0" xfId="0" applyFont="1" applyAlignment="1">
      <alignment/>
    </xf>
    <xf numFmtId="0" fontId="0" fillId="33" borderId="30" xfId="0" applyFill="1" applyBorder="1" applyAlignment="1">
      <alignment horizontal="center" shrinkToFit="1"/>
    </xf>
    <xf numFmtId="178" fontId="6" fillId="33" borderId="31" xfId="0" applyNumberFormat="1" applyFont="1" applyFill="1" applyBorder="1" applyAlignment="1" quotePrefix="1">
      <alignment horizontal="center" vertical="center"/>
    </xf>
    <xf numFmtId="0" fontId="6" fillId="33" borderId="32" xfId="0" applyFont="1" applyFill="1" applyBorder="1" applyAlignment="1" quotePrefix="1">
      <alignment vertical="center"/>
    </xf>
    <xf numFmtId="0" fontId="11" fillId="0" borderId="33" xfId="0" applyFont="1" applyBorder="1" applyAlignment="1" quotePrefix="1">
      <alignment horizontal="center" vertical="center" wrapText="1"/>
    </xf>
    <xf numFmtId="0" fontId="11" fillId="0" borderId="18" xfId="0" applyFont="1" applyBorder="1" applyAlignment="1" quotePrefix="1">
      <alignment vertical="top" wrapText="1"/>
    </xf>
    <xf numFmtId="0" fontId="11" fillId="0" borderId="19" xfId="0" applyFont="1" applyBorder="1" applyAlignment="1" quotePrefix="1">
      <alignment vertical="top" wrapText="1"/>
    </xf>
    <xf numFmtId="0" fontId="15" fillId="0" borderId="34" xfId="0" applyFont="1" applyFill="1" applyBorder="1" applyAlignment="1">
      <alignment horizontal="right" vertical="center" wrapText="1"/>
    </xf>
    <xf numFmtId="0" fontId="7" fillId="0" borderId="0" xfId="43" applyAlignment="1" applyProtection="1">
      <alignment vertical="center" shrinkToFit="1"/>
      <protection/>
    </xf>
    <xf numFmtId="0" fontId="12" fillId="33" borderId="0" xfId="0" applyFont="1" applyFill="1" applyBorder="1" applyAlignment="1">
      <alignment horizontal="center" vertical="center"/>
    </xf>
    <xf numFmtId="0" fontId="16" fillId="0" borderId="0" xfId="43" applyFont="1" applyAlignment="1" applyProtection="1">
      <alignment/>
      <protection/>
    </xf>
    <xf numFmtId="0" fontId="0" fillId="0" borderId="0" xfId="0" applyNumberFormat="1" applyAlignment="1">
      <alignment horizontal="center"/>
    </xf>
    <xf numFmtId="14" fontId="0" fillId="0" borderId="16" xfId="0" applyNumberFormat="1" applyBorder="1" applyAlignment="1">
      <alignment/>
    </xf>
    <xf numFmtId="178" fontId="0" fillId="0" borderId="0" xfId="0" applyNumberFormat="1" applyAlignment="1">
      <alignment/>
    </xf>
    <xf numFmtId="9" fontId="0" fillId="0" borderId="0" xfId="0" applyNumberFormat="1" applyAlignment="1">
      <alignment/>
    </xf>
    <xf numFmtId="0" fontId="2" fillId="0" borderId="35" xfId="0" applyNumberFormat="1" applyFont="1" applyBorder="1" applyAlignment="1" applyProtection="1">
      <alignment horizontal="left"/>
      <protection locked="0"/>
    </xf>
    <xf numFmtId="0" fontId="2" fillId="0" borderId="0" xfId="0" applyFont="1" applyAlignment="1">
      <alignment/>
    </xf>
    <xf numFmtId="0" fontId="0" fillId="0" borderId="16" xfId="0" applyNumberFormat="1" applyFont="1" applyBorder="1" applyAlignment="1" applyProtection="1">
      <alignment/>
      <protection locked="0"/>
    </xf>
    <xf numFmtId="0" fontId="17" fillId="0" borderId="0" xfId="0" applyFont="1" applyFill="1" applyAlignment="1">
      <alignment/>
    </xf>
    <xf numFmtId="0" fontId="17" fillId="0" borderId="0" xfId="0" applyFont="1" applyAlignment="1">
      <alignment/>
    </xf>
    <xf numFmtId="0" fontId="0" fillId="0" borderId="0" xfId="0" applyNumberFormat="1" applyAlignment="1">
      <alignment/>
    </xf>
    <xf numFmtId="0" fontId="11" fillId="0" borderId="0" xfId="0" applyFont="1" applyFill="1" applyBorder="1" applyAlignment="1">
      <alignment/>
    </xf>
    <xf numFmtId="14" fontId="2" fillId="0" borderId="0" xfId="0" applyNumberFormat="1" applyFont="1" applyBorder="1" applyAlignment="1" applyProtection="1">
      <alignment horizontal="left"/>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protection locked="0"/>
    </xf>
    <xf numFmtId="0" fontId="12" fillId="33" borderId="0" xfId="0" applyFont="1" applyFill="1" applyBorder="1" applyAlignment="1">
      <alignment vertical="center"/>
    </xf>
    <xf numFmtId="0" fontId="0" fillId="0" borderId="0" xfId="0" applyAlignment="1">
      <alignment/>
    </xf>
    <xf numFmtId="0" fontId="0" fillId="33" borderId="36" xfId="0" applyFill="1" applyBorder="1" applyAlignment="1">
      <alignment horizontal="center"/>
    </xf>
    <xf numFmtId="0" fontId="0" fillId="0" borderId="37" xfId="0" applyBorder="1" applyAlignment="1">
      <alignment horizontal="center"/>
    </xf>
    <xf numFmtId="0" fontId="6" fillId="0" borderId="38" xfId="0" applyFont="1" applyBorder="1" applyAlignment="1">
      <alignment vertical="center" wrapText="1"/>
    </xf>
    <xf numFmtId="0" fontId="6" fillId="33" borderId="39"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0" xfId="0" applyAlignment="1">
      <alignment horizontal="center"/>
    </xf>
    <xf numFmtId="0" fontId="12" fillId="33" borderId="0" xfId="0" applyFont="1" applyFill="1" applyAlignment="1">
      <alignment horizontal="center"/>
    </xf>
    <xf numFmtId="0" fontId="11" fillId="0" borderId="0" xfId="0" applyFont="1" applyAlignment="1">
      <alignment vertical="center"/>
    </xf>
    <xf numFmtId="0" fontId="16" fillId="0" borderId="0" xfId="43" applyFont="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'ﾊﾞｲｵﾘｽﾞﾑ計算'!$A$37</c:f>
        </c:strRef>
      </c:tx>
      <c:layout>
        <c:manualLayout>
          <c:xMode val="factor"/>
          <c:yMode val="factor"/>
          <c:x val="0.022"/>
          <c:y val="-0.00175"/>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345"/>
          <c:y val="0.09425"/>
          <c:w val="0.95525"/>
          <c:h val="0.804"/>
        </c:manualLayout>
      </c:layout>
      <c:lineChart>
        <c:grouping val="standard"/>
        <c:varyColors val="0"/>
        <c:ser>
          <c:idx val="0"/>
          <c:order val="0"/>
          <c:tx>
            <c:v>Ａ体調</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'ﾊﾞｲｵﾘｽﾞﾑ計算'!$E$4:$E$34</c:f>
              <c:numCache>
                <c:ptCount val="31"/>
                <c:pt idx="0">
                  <c:v>0.9790840876823229</c:v>
                </c:pt>
                <c:pt idx="1">
                  <c:v>0.9976687691905392</c:v>
                </c:pt>
                <c:pt idx="2">
                  <c:v>0.9422609221188205</c:v>
                </c:pt>
                <c:pt idx="3">
                  <c:v>0.8169698930104421</c:v>
                </c:pt>
                <c:pt idx="4">
                  <c:v>0.631087944326053</c:v>
                </c:pt>
                <c:pt idx="5">
                  <c:v>0.3984010898462414</c:v>
                </c:pt>
                <c:pt idx="6">
                  <c:v>0.1361666490962471</c:v>
                </c:pt>
                <c:pt idx="7">
                  <c:v>-0.1361666490962464</c:v>
                </c:pt>
                <c:pt idx="8">
                  <c:v>-0.39840108984624156</c:v>
                </c:pt>
                <c:pt idx="9">
                  <c:v>-0.6310879443260528</c:v>
                </c:pt>
                <c:pt idx="10">
                  <c:v>-0.816969893010442</c:v>
                </c:pt>
                <c:pt idx="11">
                  <c:v>-0.9422609221188204</c:v>
                </c:pt>
                <c:pt idx="12">
                  <c:v>-0.9976687691905393</c:v>
                </c:pt>
                <c:pt idx="13">
                  <c:v>-0.979084087682323</c:v>
                </c:pt>
                <c:pt idx="14">
                  <c:v>-0.8878852184023756</c:v>
                </c:pt>
                <c:pt idx="15">
                  <c:v>-0.730835964278124</c:v>
                </c:pt>
                <c:pt idx="16">
                  <c:v>-0.5195839500354336</c:v>
                </c:pt>
                <c:pt idx="17">
                  <c:v>-0.2697967711570252</c:v>
                </c:pt>
                <c:pt idx="18">
                  <c:v>0</c:v>
                </c:pt>
                <c:pt idx="19">
                  <c:v>0.2697967711570243</c:v>
                </c:pt>
                <c:pt idx="20">
                  <c:v>0.5195839500354336</c:v>
                </c:pt>
                <c:pt idx="21">
                  <c:v>0.730835964278124</c:v>
                </c:pt>
                <c:pt idx="22">
                  <c:v>0.8878852184023752</c:v>
                </c:pt>
                <c:pt idx="23">
                  <c:v>0.9790840876823229</c:v>
                </c:pt>
                <c:pt idx="24">
                  <c:v>0.9976687691905392</c:v>
                </c:pt>
                <c:pt idx="25">
                  <c:v>0.9422609221188205</c:v>
                </c:pt>
                <c:pt idx="26">
                  <c:v>0.8169698930104421</c:v>
                </c:pt>
                <c:pt idx="27">
                  <c:v>0.631087944326053</c:v>
                </c:pt>
                <c:pt idx="28">
                  <c:v>0.3984010898462414</c:v>
                </c:pt>
                <c:pt idx="29">
                  <c:v>0.1361666490962471</c:v>
                </c:pt>
                <c:pt idx="30">
                  <c:v>-0.1361666490962464</c:v>
                </c:pt>
              </c:numCache>
            </c:numRef>
          </c:val>
          <c:smooth val="0"/>
        </c:ser>
        <c:ser>
          <c:idx val="1"/>
          <c:order val="1"/>
          <c:tx>
            <c:v>Ａ情緒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'ﾊﾞｲｵﾘｽﾞﾑ計算'!$F$4:$F$34</c:f>
              <c:numCache>
                <c:ptCount val="31"/>
                <c:pt idx="0">
                  <c:v>-0.6234898018587337</c:v>
                </c:pt>
                <c:pt idx="1">
                  <c:v>-0.4338837391175575</c:v>
                </c:pt>
                <c:pt idx="2">
                  <c:v>-0.22252093395631464</c:v>
                </c:pt>
                <c:pt idx="3">
                  <c:v>0</c:v>
                </c:pt>
                <c:pt idx="4">
                  <c:v>0.2225209339563144</c:v>
                </c:pt>
                <c:pt idx="5">
                  <c:v>0.4338837391175581</c:v>
                </c:pt>
                <c:pt idx="6">
                  <c:v>0.6234898018587335</c:v>
                </c:pt>
                <c:pt idx="7">
                  <c:v>0.7818314824680298</c:v>
                </c:pt>
                <c:pt idx="8">
                  <c:v>0.9009688679024191</c:v>
                </c:pt>
                <c:pt idx="9">
                  <c:v>0.9749279121818236</c:v>
                </c:pt>
                <c:pt idx="10">
                  <c:v>1</c:v>
                </c:pt>
                <c:pt idx="11">
                  <c:v>0.9749279121818236</c:v>
                </c:pt>
                <c:pt idx="12">
                  <c:v>0.9009688679024191</c:v>
                </c:pt>
                <c:pt idx="13">
                  <c:v>0.7818314824680299</c:v>
                </c:pt>
                <c:pt idx="14">
                  <c:v>0.6234898018587339</c:v>
                </c:pt>
                <c:pt idx="15">
                  <c:v>0.43388373911755823</c:v>
                </c:pt>
                <c:pt idx="16">
                  <c:v>0.2225209339563141</c:v>
                </c:pt>
                <c:pt idx="17">
                  <c:v>1.22514845490862E-16</c:v>
                </c:pt>
                <c:pt idx="18">
                  <c:v>-0.22252093395631384</c:v>
                </c:pt>
                <c:pt idx="19">
                  <c:v>-0.433883739117558</c:v>
                </c:pt>
                <c:pt idx="20">
                  <c:v>-0.6234898018587338</c:v>
                </c:pt>
                <c:pt idx="21">
                  <c:v>-0.7818314824680297</c:v>
                </c:pt>
                <c:pt idx="22">
                  <c:v>-0.900968867902419</c:v>
                </c:pt>
                <c:pt idx="23">
                  <c:v>-0.9749279121818236</c:v>
                </c:pt>
                <c:pt idx="24">
                  <c:v>-1</c:v>
                </c:pt>
                <c:pt idx="25">
                  <c:v>-0.9749279121818238</c:v>
                </c:pt>
                <c:pt idx="26">
                  <c:v>-0.9009688679024193</c:v>
                </c:pt>
                <c:pt idx="27">
                  <c:v>-0.7818314824680299</c:v>
                </c:pt>
                <c:pt idx="28">
                  <c:v>-0.6234898018587337</c:v>
                </c:pt>
                <c:pt idx="29">
                  <c:v>-0.4338837391175575</c:v>
                </c:pt>
                <c:pt idx="30">
                  <c:v>-0.22252093395631464</c:v>
                </c:pt>
              </c:numCache>
            </c:numRef>
          </c:val>
          <c:smooth val="0"/>
        </c:ser>
        <c:ser>
          <c:idx val="2"/>
          <c:order val="2"/>
          <c:tx>
            <c:v>Ａ知性</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'ﾊﾞｲｵﾘｽﾞﾑ計算'!$G$4:$G$34</c:f>
              <c:numCache>
                <c:ptCount val="31"/>
                <c:pt idx="0">
                  <c:v>-0.9096319953545186</c:v>
                </c:pt>
                <c:pt idx="1">
                  <c:v>-0.8145759520503358</c:v>
                </c:pt>
                <c:pt idx="2">
                  <c:v>-0.690079011482112</c:v>
                </c:pt>
                <c:pt idx="3">
                  <c:v>-0.5406408174555982</c:v>
                </c:pt>
                <c:pt idx="4">
                  <c:v>-0.3716624556603281</c:v>
                </c:pt>
                <c:pt idx="5">
                  <c:v>-0.18925124436041063</c:v>
                </c:pt>
                <c:pt idx="6">
                  <c:v>0</c:v>
                </c:pt>
                <c:pt idx="7">
                  <c:v>0.1892512443604102</c:v>
                </c:pt>
                <c:pt idx="8">
                  <c:v>0.3716624556603275</c:v>
                </c:pt>
                <c:pt idx="9">
                  <c:v>0.5406408174555976</c:v>
                </c:pt>
                <c:pt idx="10">
                  <c:v>0.6900790114821119</c:v>
                </c:pt>
                <c:pt idx="11">
                  <c:v>0.8145759520503357</c:v>
                </c:pt>
                <c:pt idx="12">
                  <c:v>0.9096319953545183</c:v>
                </c:pt>
                <c:pt idx="13">
                  <c:v>0.9718115683235417</c:v>
                </c:pt>
                <c:pt idx="14">
                  <c:v>0.998867339183008</c:v>
                </c:pt>
                <c:pt idx="15">
                  <c:v>0.9898214418809328</c:v>
                </c:pt>
                <c:pt idx="16">
                  <c:v>0.9450008187146685</c:v>
                </c:pt>
                <c:pt idx="17">
                  <c:v>0.8660254037844387</c:v>
                </c:pt>
                <c:pt idx="18">
                  <c:v>0.7557495743542583</c:v>
                </c:pt>
                <c:pt idx="19">
                  <c:v>0.6181589862206051</c:v>
                </c:pt>
                <c:pt idx="20">
                  <c:v>0.4582265217274105</c:v>
                </c:pt>
                <c:pt idx="21">
                  <c:v>0.28173255684143006</c:v>
                </c:pt>
                <c:pt idx="22">
                  <c:v>0.09505604330418288</c:v>
                </c:pt>
                <c:pt idx="23">
                  <c:v>-0.09505604330418263</c:v>
                </c:pt>
                <c:pt idx="24">
                  <c:v>-0.2817325568414294</c:v>
                </c:pt>
                <c:pt idx="25">
                  <c:v>-0.4582265217274099</c:v>
                </c:pt>
                <c:pt idx="26">
                  <c:v>-0.6181589862206053</c:v>
                </c:pt>
                <c:pt idx="27">
                  <c:v>-0.7557495743542585</c:v>
                </c:pt>
                <c:pt idx="28">
                  <c:v>-0.8660254037844384</c:v>
                </c:pt>
                <c:pt idx="29">
                  <c:v>-0.9450008187146683</c:v>
                </c:pt>
                <c:pt idx="30">
                  <c:v>-0.9898214418809327</c:v>
                </c:pt>
              </c:numCache>
            </c:numRef>
          </c:val>
          <c:smooth val="0"/>
        </c:ser>
        <c:marker val="1"/>
        <c:axId val="60430067"/>
        <c:axId val="6999692"/>
      </c:lineChart>
      <c:catAx>
        <c:axId val="60430067"/>
        <c:scaling>
          <c:orientation val="minMax"/>
        </c:scaling>
        <c:axPos val="b"/>
        <c:title>
          <c:tx>
            <c:rich>
              <a:bodyPr vert="horz" rot="0" anchor="ctr"/>
              <a:lstStyle/>
              <a:p>
                <a:pPr algn="ctr">
                  <a:defRPr/>
                </a:pPr>
                <a:r>
                  <a:rPr lang="en-US" cap="none" sz="1100" b="0" i="0" u="none" baseline="0">
                    <a:solidFill>
                      <a:srgbClr val="000000"/>
                    </a:solidFill>
                  </a:rPr>
                  <a:t>日　付</a:t>
                </a:r>
              </a:p>
            </c:rich>
          </c:tx>
          <c:layout>
            <c:manualLayout>
              <c:xMode val="factor"/>
              <c:yMode val="factor"/>
              <c:x val="0"/>
              <c:y val="0.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999692"/>
        <c:crosses val="autoZero"/>
        <c:auto val="0"/>
        <c:lblOffset val="100"/>
        <c:tickLblSkip val="2"/>
        <c:noMultiLvlLbl val="0"/>
      </c:catAx>
      <c:valAx>
        <c:axId val="6999692"/>
        <c:scaling>
          <c:orientation val="minMax"/>
        </c:scaling>
        <c:axPos val="l"/>
        <c:title>
          <c:tx>
            <c:rich>
              <a:bodyPr vert="horz" rot="-5400000" anchor="ctr"/>
              <a:lstStyle/>
              <a:p>
                <a:pPr algn="ctr">
                  <a:defRPr/>
                </a:pPr>
                <a:r>
                  <a:rPr lang="en-US" cap="none" sz="1100" b="0" i="0" u="none" baseline="0">
                    <a:solidFill>
                      <a:srgbClr val="000000"/>
                    </a:solidFill>
                  </a:rPr>
                  <a:t>沈静←　　不安↓定　　　→高揚</a:t>
                </a:r>
              </a:p>
            </c:rich>
          </c:tx>
          <c:layout>
            <c:manualLayout>
              <c:xMode val="factor"/>
              <c:yMode val="factor"/>
              <c:x val="0.00025"/>
              <c:y val="0.0005"/>
            </c:manualLayout>
          </c:layout>
          <c:overlay val="0"/>
          <c:spPr>
            <a:noFill/>
            <a:ln>
              <a:noFill/>
            </a:ln>
          </c:spPr>
        </c:title>
        <c:delete val="0"/>
        <c:numFmt formatCode="General" sourceLinked="1"/>
        <c:majorTickMark val="in"/>
        <c:minorTickMark val="none"/>
        <c:tickLblPos val="nextTo"/>
        <c:spPr>
          <a:ln w="3175">
            <a:solidFill>
              <a:srgbClr val="000000"/>
            </a:solidFill>
          </a:ln>
        </c:spPr>
        <c:crossAx val="60430067"/>
        <c:crossesAt val="1"/>
        <c:crossBetween val="between"/>
        <c:dispUnits/>
      </c:valAx>
      <c:spPr>
        <a:solidFill>
          <a:srgbClr val="C0C0C0"/>
        </a:solidFill>
        <a:ln w="12700">
          <a:solidFill>
            <a:srgbClr val="808080"/>
          </a:solidFill>
        </a:ln>
      </c:spPr>
    </c:plotArea>
    <c:legend>
      <c:legendPos val="b"/>
      <c:layout>
        <c:manualLayout>
          <c:xMode val="edge"/>
          <c:yMode val="edge"/>
          <c:x val="0.40725"/>
          <c:y val="0.95625"/>
          <c:w val="0.249"/>
          <c:h val="0.035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0"/>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'ﾊﾞｲｵﾘｽﾞﾑ計算'!$B$47</c:f>
        </c:strRef>
      </c:tx>
      <c:layout>
        <c:manualLayout>
          <c:xMode val="factor"/>
          <c:yMode val="factor"/>
          <c:x val="-0.01675"/>
          <c:y val="-0.00175"/>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345"/>
          <c:y val="0.12475"/>
          <c:w val="0.95525"/>
          <c:h val="0.77325"/>
        </c:manualLayout>
      </c:layout>
      <c:lineChart>
        <c:grouping val="standard"/>
        <c:varyColors val="0"/>
        <c:ser>
          <c:idx val="0"/>
          <c:order val="0"/>
          <c:tx>
            <c:v>Ａ体調　　</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'ﾊﾞｲｵﾘｽﾞﾑ計算'!$E$4:$E$34</c:f>
              <c:numCache>
                <c:ptCount val="31"/>
                <c:pt idx="0">
                  <c:v>0.9790840876823229</c:v>
                </c:pt>
                <c:pt idx="1">
                  <c:v>0.9976687691905392</c:v>
                </c:pt>
                <c:pt idx="2">
                  <c:v>0.9422609221188205</c:v>
                </c:pt>
                <c:pt idx="3">
                  <c:v>0.8169698930104421</c:v>
                </c:pt>
                <c:pt idx="4">
                  <c:v>0.631087944326053</c:v>
                </c:pt>
                <c:pt idx="5">
                  <c:v>0.3984010898462414</c:v>
                </c:pt>
                <c:pt idx="6">
                  <c:v>0.1361666490962471</c:v>
                </c:pt>
                <c:pt idx="7">
                  <c:v>-0.1361666490962464</c:v>
                </c:pt>
                <c:pt idx="8">
                  <c:v>-0.39840108984624156</c:v>
                </c:pt>
                <c:pt idx="9">
                  <c:v>-0.6310879443260528</c:v>
                </c:pt>
                <c:pt idx="10">
                  <c:v>-0.816969893010442</c:v>
                </c:pt>
                <c:pt idx="11">
                  <c:v>-0.9422609221188204</c:v>
                </c:pt>
                <c:pt idx="12">
                  <c:v>-0.9976687691905393</c:v>
                </c:pt>
                <c:pt idx="13">
                  <c:v>-0.979084087682323</c:v>
                </c:pt>
                <c:pt idx="14">
                  <c:v>-0.8878852184023756</c:v>
                </c:pt>
                <c:pt idx="15">
                  <c:v>-0.730835964278124</c:v>
                </c:pt>
                <c:pt idx="16">
                  <c:v>-0.5195839500354336</c:v>
                </c:pt>
                <c:pt idx="17">
                  <c:v>-0.2697967711570252</c:v>
                </c:pt>
                <c:pt idx="18">
                  <c:v>0</c:v>
                </c:pt>
                <c:pt idx="19">
                  <c:v>0.2697967711570243</c:v>
                </c:pt>
                <c:pt idx="20">
                  <c:v>0.5195839500354336</c:v>
                </c:pt>
                <c:pt idx="21">
                  <c:v>0.730835964278124</c:v>
                </c:pt>
                <c:pt idx="22">
                  <c:v>0.8878852184023752</c:v>
                </c:pt>
                <c:pt idx="23">
                  <c:v>0.9790840876823229</c:v>
                </c:pt>
                <c:pt idx="24">
                  <c:v>0.9976687691905392</c:v>
                </c:pt>
                <c:pt idx="25">
                  <c:v>0.9422609221188205</c:v>
                </c:pt>
                <c:pt idx="26">
                  <c:v>0.8169698930104421</c:v>
                </c:pt>
                <c:pt idx="27">
                  <c:v>0.631087944326053</c:v>
                </c:pt>
                <c:pt idx="28">
                  <c:v>0.3984010898462414</c:v>
                </c:pt>
                <c:pt idx="29">
                  <c:v>0.1361666490962471</c:v>
                </c:pt>
                <c:pt idx="30">
                  <c:v>-0.1361666490962464</c:v>
                </c:pt>
              </c:numCache>
            </c:numRef>
          </c:val>
          <c:smooth val="0"/>
        </c:ser>
        <c:ser>
          <c:idx val="1"/>
          <c:order val="1"/>
          <c:tx>
            <c:v>Ｂ体調</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FF00"/>
              </a:solid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'ﾊﾞｲｵﾘｽﾞﾑ計算'!$J$4:$J$34</c:f>
              <c:numCache>
                <c:ptCount val="31"/>
                <c:pt idx="0">
                  <c:v>0.9976687691905392</c:v>
                </c:pt>
                <c:pt idx="1">
                  <c:v>0.9422609221188205</c:v>
                </c:pt>
                <c:pt idx="2">
                  <c:v>0.8169698930104421</c:v>
                </c:pt>
                <c:pt idx="3">
                  <c:v>0.631087944326053</c:v>
                </c:pt>
                <c:pt idx="4">
                  <c:v>0.3984010898462414</c:v>
                </c:pt>
                <c:pt idx="5">
                  <c:v>0.1361666490962471</c:v>
                </c:pt>
                <c:pt idx="6">
                  <c:v>-0.1361666490962464</c:v>
                </c:pt>
                <c:pt idx="7">
                  <c:v>-0.39840108984624156</c:v>
                </c:pt>
                <c:pt idx="8">
                  <c:v>-0.6310879443260528</c:v>
                </c:pt>
                <c:pt idx="9">
                  <c:v>-0.816969893010442</c:v>
                </c:pt>
                <c:pt idx="10">
                  <c:v>-0.9422609221188204</c:v>
                </c:pt>
                <c:pt idx="11">
                  <c:v>-0.9976687691905393</c:v>
                </c:pt>
                <c:pt idx="12">
                  <c:v>-0.979084087682323</c:v>
                </c:pt>
                <c:pt idx="13">
                  <c:v>-0.8878852184023756</c:v>
                </c:pt>
                <c:pt idx="14">
                  <c:v>-0.730835964278124</c:v>
                </c:pt>
                <c:pt idx="15">
                  <c:v>-0.5195839500354336</c:v>
                </c:pt>
                <c:pt idx="16">
                  <c:v>-0.2697967711570252</c:v>
                </c:pt>
                <c:pt idx="17">
                  <c:v>0</c:v>
                </c:pt>
                <c:pt idx="18">
                  <c:v>0.2697967711570243</c:v>
                </c:pt>
                <c:pt idx="19">
                  <c:v>0.5195839500354336</c:v>
                </c:pt>
                <c:pt idx="20">
                  <c:v>0.730835964278124</c:v>
                </c:pt>
                <c:pt idx="21">
                  <c:v>0.8878852184023752</c:v>
                </c:pt>
                <c:pt idx="22">
                  <c:v>0.9790840876823229</c:v>
                </c:pt>
                <c:pt idx="23">
                  <c:v>0.9976687691905392</c:v>
                </c:pt>
                <c:pt idx="24">
                  <c:v>0.9422609221188205</c:v>
                </c:pt>
                <c:pt idx="25">
                  <c:v>0.8169698930104421</c:v>
                </c:pt>
                <c:pt idx="26">
                  <c:v>0.631087944326053</c:v>
                </c:pt>
                <c:pt idx="27">
                  <c:v>0.3984010898462414</c:v>
                </c:pt>
                <c:pt idx="28">
                  <c:v>0.1361666490962471</c:v>
                </c:pt>
                <c:pt idx="29">
                  <c:v>-0.1361666490962464</c:v>
                </c:pt>
                <c:pt idx="30">
                  <c:v>-0.39840108984624156</c:v>
                </c:pt>
              </c:numCache>
            </c:numRef>
          </c:val>
          <c:smooth val="0"/>
        </c:ser>
        <c:marker val="1"/>
        <c:axId val="62997229"/>
        <c:axId val="30104150"/>
      </c:lineChart>
      <c:catAx>
        <c:axId val="62997229"/>
        <c:scaling>
          <c:orientation val="minMax"/>
        </c:scaling>
        <c:axPos val="b"/>
        <c:title>
          <c:tx>
            <c:rich>
              <a:bodyPr vert="horz" rot="0" anchor="ctr"/>
              <a:lstStyle/>
              <a:p>
                <a:pPr algn="ctr">
                  <a:defRPr/>
                </a:pPr>
                <a:r>
                  <a:rPr lang="en-US" cap="none" sz="1100" b="0" i="0" u="none" baseline="0">
                    <a:solidFill>
                      <a:srgbClr val="000000"/>
                    </a:solidFill>
                  </a:rPr>
                  <a:t>日　付</a:t>
                </a:r>
              </a:p>
            </c:rich>
          </c:tx>
          <c:layout>
            <c:manualLayout>
              <c:xMode val="factor"/>
              <c:yMode val="factor"/>
              <c:x val="0"/>
              <c:y val="0.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104150"/>
        <c:crosses val="autoZero"/>
        <c:auto val="0"/>
        <c:lblOffset val="100"/>
        <c:tickLblSkip val="2"/>
        <c:noMultiLvlLbl val="0"/>
      </c:catAx>
      <c:valAx>
        <c:axId val="30104150"/>
        <c:scaling>
          <c:orientation val="minMax"/>
        </c:scaling>
        <c:axPos val="l"/>
        <c:title>
          <c:tx>
            <c:rich>
              <a:bodyPr vert="horz" rot="-5400000" anchor="ctr"/>
              <a:lstStyle/>
              <a:p>
                <a:pPr algn="ctr">
                  <a:defRPr/>
                </a:pPr>
                <a:r>
                  <a:rPr lang="en-US" cap="none" sz="1100" b="0" i="0" u="none" baseline="0">
                    <a:solidFill>
                      <a:srgbClr val="000000"/>
                    </a:solidFill>
                  </a:rPr>
                  <a:t>沈静←　　　不安↓定　　　　→高揚</a:t>
                </a:r>
              </a:p>
            </c:rich>
          </c:tx>
          <c:layout>
            <c:manualLayout>
              <c:xMode val="factor"/>
              <c:yMode val="factor"/>
              <c:x val="0.00025"/>
              <c:y val="0.0005"/>
            </c:manualLayout>
          </c:layout>
          <c:overlay val="0"/>
          <c:spPr>
            <a:noFill/>
            <a:ln>
              <a:noFill/>
            </a:ln>
          </c:spPr>
        </c:title>
        <c:delete val="0"/>
        <c:numFmt formatCode="General" sourceLinked="1"/>
        <c:majorTickMark val="in"/>
        <c:minorTickMark val="none"/>
        <c:tickLblPos val="nextTo"/>
        <c:spPr>
          <a:ln w="3175">
            <a:solidFill>
              <a:srgbClr val="000000"/>
            </a:solidFill>
          </a:ln>
        </c:spPr>
        <c:crossAx val="62997229"/>
        <c:crossesAt val="1"/>
        <c:crossBetween val="between"/>
        <c:dispUnits/>
      </c:valAx>
      <c:spPr>
        <a:solidFill>
          <a:srgbClr val="C0C0C0"/>
        </a:solidFill>
        <a:ln w="12700">
          <a:solidFill>
            <a:srgbClr val="808080"/>
          </a:solidFill>
        </a:ln>
      </c:spPr>
    </c:plotArea>
    <c:legend>
      <c:legendPos val="b"/>
      <c:layout>
        <c:manualLayout>
          <c:xMode val="edge"/>
          <c:yMode val="edge"/>
          <c:x val="0.4395"/>
          <c:y val="0.9565"/>
          <c:w val="0.1905"/>
          <c:h val="0.036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0"/>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'ﾊﾞｲｵﾘｽﾞﾑ計算'!$B$48</c:f>
        </c:strRef>
      </c:tx>
      <c:layout>
        <c:manualLayout>
          <c:xMode val="factor"/>
          <c:yMode val="factor"/>
          <c:x val="-0.01575"/>
          <c:y val="-0.00675"/>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345"/>
          <c:y val="0.114"/>
          <c:w val="0.95575"/>
          <c:h val="0.8045"/>
        </c:manualLayout>
      </c:layout>
      <c:lineChart>
        <c:grouping val="standard"/>
        <c:varyColors val="0"/>
        <c:ser>
          <c:idx val="0"/>
          <c:order val="0"/>
          <c:tx>
            <c:v>Ａ情緒　　</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'ﾊﾞｲｵﾘｽﾞﾑ計算'!$F$4:$F$34</c:f>
              <c:numCache>
                <c:ptCount val="31"/>
                <c:pt idx="0">
                  <c:v>-0.6234898018587337</c:v>
                </c:pt>
                <c:pt idx="1">
                  <c:v>-0.4338837391175575</c:v>
                </c:pt>
                <c:pt idx="2">
                  <c:v>-0.22252093395631464</c:v>
                </c:pt>
                <c:pt idx="3">
                  <c:v>0</c:v>
                </c:pt>
                <c:pt idx="4">
                  <c:v>0.2225209339563144</c:v>
                </c:pt>
                <c:pt idx="5">
                  <c:v>0.4338837391175581</c:v>
                </c:pt>
                <c:pt idx="6">
                  <c:v>0.6234898018587335</c:v>
                </c:pt>
                <c:pt idx="7">
                  <c:v>0.7818314824680298</c:v>
                </c:pt>
                <c:pt idx="8">
                  <c:v>0.9009688679024191</c:v>
                </c:pt>
                <c:pt idx="9">
                  <c:v>0.9749279121818236</c:v>
                </c:pt>
                <c:pt idx="10">
                  <c:v>1</c:v>
                </c:pt>
                <c:pt idx="11">
                  <c:v>0.9749279121818236</c:v>
                </c:pt>
                <c:pt idx="12">
                  <c:v>0.9009688679024191</c:v>
                </c:pt>
                <c:pt idx="13">
                  <c:v>0.7818314824680299</c:v>
                </c:pt>
                <c:pt idx="14">
                  <c:v>0.6234898018587339</c:v>
                </c:pt>
                <c:pt idx="15">
                  <c:v>0.43388373911755823</c:v>
                </c:pt>
                <c:pt idx="16">
                  <c:v>0.2225209339563141</c:v>
                </c:pt>
                <c:pt idx="17">
                  <c:v>1.22514845490862E-16</c:v>
                </c:pt>
                <c:pt idx="18">
                  <c:v>-0.22252093395631384</c:v>
                </c:pt>
                <c:pt idx="19">
                  <c:v>-0.433883739117558</c:v>
                </c:pt>
                <c:pt idx="20">
                  <c:v>-0.6234898018587338</c:v>
                </c:pt>
                <c:pt idx="21">
                  <c:v>-0.7818314824680297</c:v>
                </c:pt>
                <c:pt idx="22">
                  <c:v>-0.900968867902419</c:v>
                </c:pt>
                <c:pt idx="23">
                  <c:v>-0.9749279121818236</c:v>
                </c:pt>
                <c:pt idx="24">
                  <c:v>-1</c:v>
                </c:pt>
                <c:pt idx="25">
                  <c:v>-0.9749279121818238</c:v>
                </c:pt>
                <c:pt idx="26">
                  <c:v>-0.9009688679024193</c:v>
                </c:pt>
                <c:pt idx="27">
                  <c:v>-0.7818314824680299</c:v>
                </c:pt>
                <c:pt idx="28">
                  <c:v>-0.6234898018587337</c:v>
                </c:pt>
                <c:pt idx="29">
                  <c:v>-0.4338837391175575</c:v>
                </c:pt>
                <c:pt idx="30">
                  <c:v>-0.22252093395631464</c:v>
                </c:pt>
              </c:numCache>
            </c:numRef>
          </c:val>
          <c:smooth val="0"/>
        </c:ser>
        <c:ser>
          <c:idx val="1"/>
          <c:order val="1"/>
          <c:tx>
            <c:v>Ｂ情緒</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'ﾊﾞｲｵﾘｽﾞﾑ計算'!$K$4:$K$34</c:f>
              <c:numCache>
                <c:ptCount val="31"/>
                <c:pt idx="0">
                  <c:v>-0.6234898018587337</c:v>
                </c:pt>
                <c:pt idx="1">
                  <c:v>-0.4338837391175575</c:v>
                </c:pt>
                <c:pt idx="2">
                  <c:v>-0.22252093395631464</c:v>
                </c:pt>
                <c:pt idx="3">
                  <c:v>0</c:v>
                </c:pt>
                <c:pt idx="4">
                  <c:v>0.2225209339563144</c:v>
                </c:pt>
                <c:pt idx="5">
                  <c:v>0.4338837391175581</c:v>
                </c:pt>
                <c:pt idx="6">
                  <c:v>0.6234898018587335</c:v>
                </c:pt>
                <c:pt idx="7">
                  <c:v>0.7818314824680298</c:v>
                </c:pt>
                <c:pt idx="8">
                  <c:v>0.9009688679024191</c:v>
                </c:pt>
                <c:pt idx="9">
                  <c:v>0.9749279121818236</c:v>
                </c:pt>
                <c:pt idx="10">
                  <c:v>1</c:v>
                </c:pt>
                <c:pt idx="11">
                  <c:v>0.9749279121818236</c:v>
                </c:pt>
                <c:pt idx="12">
                  <c:v>0.9009688679024191</c:v>
                </c:pt>
                <c:pt idx="13">
                  <c:v>0.7818314824680299</c:v>
                </c:pt>
                <c:pt idx="14">
                  <c:v>0.6234898018587339</c:v>
                </c:pt>
                <c:pt idx="15">
                  <c:v>0.43388373911755823</c:v>
                </c:pt>
                <c:pt idx="16">
                  <c:v>0.2225209339563141</c:v>
                </c:pt>
                <c:pt idx="17">
                  <c:v>1.22514845490862E-16</c:v>
                </c:pt>
                <c:pt idx="18">
                  <c:v>-0.22252093395631384</c:v>
                </c:pt>
                <c:pt idx="19">
                  <c:v>-0.433883739117558</c:v>
                </c:pt>
                <c:pt idx="20">
                  <c:v>-0.6234898018587338</c:v>
                </c:pt>
                <c:pt idx="21">
                  <c:v>-0.7818314824680297</c:v>
                </c:pt>
                <c:pt idx="22">
                  <c:v>-0.900968867902419</c:v>
                </c:pt>
                <c:pt idx="23">
                  <c:v>-0.9749279121818236</c:v>
                </c:pt>
                <c:pt idx="24">
                  <c:v>-1</c:v>
                </c:pt>
                <c:pt idx="25">
                  <c:v>-0.9749279121818238</c:v>
                </c:pt>
                <c:pt idx="26">
                  <c:v>-0.9009688679024193</c:v>
                </c:pt>
                <c:pt idx="27">
                  <c:v>-0.7818314824680299</c:v>
                </c:pt>
                <c:pt idx="28">
                  <c:v>-0.6234898018587337</c:v>
                </c:pt>
                <c:pt idx="29">
                  <c:v>-0.4338837391175575</c:v>
                </c:pt>
                <c:pt idx="30">
                  <c:v>-0.22252093395631464</c:v>
                </c:pt>
              </c:numCache>
            </c:numRef>
          </c:val>
          <c:smooth val="0"/>
        </c:ser>
        <c:marker val="1"/>
        <c:axId val="2501895"/>
        <c:axId val="22517056"/>
      </c:lineChart>
      <c:catAx>
        <c:axId val="2501895"/>
        <c:scaling>
          <c:orientation val="minMax"/>
        </c:scaling>
        <c:axPos val="b"/>
        <c:title>
          <c:tx>
            <c:rich>
              <a:bodyPr vert="horz" rot="0" anchor="ctr"/>
              <a:lstStyle/>
              <a:p>
                <a:pPr algn="ctr">
                  <a:defRPr/>
                </a:pPr>
                <a:r>
                  <a:rPr lang="en-US" cap="none" sz="1100" b="0" i="0" u="none" baseline="0">
                    <a:solidFill>
                      <a:srgbClr val="000000"/>
                    </a:solidFill>
                  </a:rPr>
                  <a:t>日　付</a:t>
                </a:r>
              </a:p>
            </c:rich>
          </c:tx>
          <c:layout>
            <c:manualLayout>
              <c:xMode val="factor"/>
              <c:yMode val="factor"/>
              <c:x val="0"/>
              <c:y val="0.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crossAx val="22517056"/>
        <c:crosses val="autoZero"/>
        <c:auto val="0"/>
        <c:lblOffset val="100"/>
        <c:tickLblSkip val="2"/>
        <c:noMultiLvlLbl val="0"/>
      </c:catAx>
      <c:valAx>
        <c:axId val="22517056"/>
        <c:scaling>
          <c:orientation val="minMax"/>
        </c:scaling>
        <c:axPos val="l"/>
        <c:title>
          <c:tx>
            <c:rich>
              <a:bodyPr vert="horz" rot="-5400000" anchor="ctr"/>
              <a:lstStyle/>
              <a:p>
                <a:pPr algn="ctr">
                  <a:defRPr/>
                </a:pPr>
                <a:r>
                  <a:rPr lang="en-US" cap="none" sz="1100" b="0" i="0" u="none" baseline="0">
                    <a:solidFill>
                      <a:srgbClr val="000000"/>
                    </a:solidFill>
                  </a:rPr>
                  <a:t>沈静←　　　不安↓定　　　　→高揚</a:t>
                </a:r>
              </a:p>
            </c:rich>
          </c:tx>
          <c:layout>
            <c:manualLayout>
              <c:xMode val="factor"/>
              <c:yMode val="factor"/>
              <c:x val="0.00025"/>
              <c:y val="0.001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501895"/>
        <c:crossesAt val="1"/>
        <c:crossBetween val="between"/>
        <c:dispUnits/>
      </c:valAx>
      <c:spPr>
        <a:solidFill>
          <a:srgbClr val="C0C0C0"/>
        </a:solidFill>
        <a:ln w="12700">
          <a:solidFill>
            <a:srgbClr val="808080"/>
          </a:solidFill>
        </a:ln>
      </c:spPr>
    </c:plotArea>
    <c:legend>
      <c:legendPos val="b"/>
      <c:layout>
        <c:manualLayout>
          <c:xMode val="edge"/>
          <c:yMode val="edge"/>
          <c:x val="0.43825"/>
          <c:y val="0.9565"/>
          <c:w val="0.1905"/>
          <c:h val="0.036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0"/>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'ﾊﾞｲｵﾘｽﾞﾑ計算'!$B$49</c:f>
        </c:strRef>
      </c:tx>
      <c:layout>
        <c:manualLayout>
          <c:xMode val="factor"/>
          <c:yMode val="factor"/>
          <c:x val="-0.01675"/>
          <c:y val="-0.00175"/>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33"/>
          <c:y val="0.1085"/>
          <c:w val="0.95575"/>
          <c:h val="0.76575"/>
        </c:manualLayout>
      </c:layout>
      <c:lineChart>
        <c:grouping val="standard"/>
        <c:varyColors val="0"/>
        <c:ser>
          <c:idx val="0"/>
          <c:order val="0"/>
          <c:tx>
            <c:v>Ａ知性　　</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'ﾊﾞｲｵﾘｽﾞﾑ計算'!$G$4:$G$34</c:f>
              <c:numCache>
                <c:ptCount val="31"/>
                <c:pt idx="0">
                  <c:v>-0.9096319953545186</c:v>
                </c:pt>
                <c:pt idx="1">
                  <c:v>-0.8145759520503358</c:v>
                </c:pt>
                <c:pt idx="2">
                  <c:v>-0.690079011482112</c:v>
                </c:pt>
                <c:pt idx="3">
                  <c:v>-0.5406408174555982</c:v>
                </c:pt>
                <c:pt idx="4">
                  <c:v>-0.3716624556603281</c:v>
                </c:pt>
                <c:pt idx="5">
                  <c:v>-0.18925124436041063</c:v>
                </c:pt>
                <c:pt idx="6">
                  <c:v>0</c:v>
                </c:pt>
                <c:pt idx="7">
                  <c:v>0.1892512443604102</c:v>
                </c:pt>
                <c:pt idx="8">
                  <c:v>0.3716624556603275</c:v>
                </c:pt>
                <c:pt idx="9">
                  <c:v>0.5406408174555976</c:v>
                </c:pt>
                <c:pt idx="10">
                  <c:v>0.6900790114821119</c:v>
                </c:pt>
                <c:pt idx="11">
                  <c:v>0.8145759520503357</c:v>
                </c:pt>
                <c:pt idx="12">
                  <c:v>0.9096319953545183</c:v>
                </c:pt>
                <c:pt idx="13">
                  <c:v>0.9718115683235417</c:v>
                </c:pt>
                <c:pt idx="14">
                  <c:v>0.998867339183008</c:v>
                </c:pt>
                <c:pt idx="15">
                  <c:v>0.9898214418809328</c:v>
                </c:pt>
                <c:pt idx="16">
                  <c:v>0.9450008187146685</c:v>
                </c:pt>
                <c:pt idx="17">
                  <c:v>0.8660254037844387</c:v>
                </c:pt>
                <c:pt idx="18">
                  <c:v>0.7557495743542583</c:v>
                </c:pt>
                <c:pt idx="19">
                  <c:v>0.6181589862206051</c:v>
                </c:pt>
                <c:pt idx="20">
                  <c:v>0.4582265217274105</c:v>
                </c:pt>
                <c:pt idx="21">
                  <c:v>0.28173255684143006</c:v>
                </c:pt>
                <c:pt idx="22">
                  <c:v>0.09505604330418288</c:v>
                </c:pt>
                <c:pt idx="23">
                  <c:v>-0.09505604330418263</c:v>
                </c:pt>
                <c:pt idx="24">
                  <c:v>-0.2817325568414294</c:v>
                </c:pt>
                <c:pt idx="25">
                  <c:v>-0.4582265217274099</c:v>
                </c:pt>
                <c:pt idx="26">
                  <c:v>-0.6181589862206053</c:v>
                </c:pt>
                <c:pt idx="27">
                  <c:v>-0.7557495743542585</c:v>
                </c:pt>
                <c:pt idx="28">
                  <c:v>-0.8660254037844384</c:v>
                </c:pt>
                <c:pt idx="29">
                  <c:v>-0.9450008187146683</c:v>
                </c:pt>
                <c:pt idx="30">
                  <c:v>-0.9898214418809327</c:v>
                </c:pt>
              </c:numCache>
            </c:numRef>
          </c:val>
          <c:smooth val="0"/>
        </c:ser>
        <c:ser>
          <c:idx val="1"/>
          <c:order val="1"/>
          <c:tx>
            <c:v>Ｂ知性</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'ﾊﾞｲｵﾘｽﾞﾑ計算'!$L$4:$L$34</c:f>
              <c:numCache>
                <c:ptCount val="31"/>
                <c:pt idx="0">
                  <c:v>-0.8660254037844384</c:v>
                </c:pt>
                <c:pt idx="1">
                  <c:v>-0.9450008187146683</c:v>
                </c:pt>
                <c:pt idx="2">
                  <c:v>-0.9898214418809327</c:v>
                </c:pt>
                <c:pt idx="3">
                  <c:v>-0.998867339183008</c:v>
                </c:pt>
                <c:pt idx="4">
                  <c:v>-0.9718115683235417</c:v>
                </c:pt>
                <c:pt idx="5">
                  <c:v>-0.9096319953545186</c:v>
                </c:pt>
                <c:pt idx="6">
                  <c:v>-0.8145759520503358</c:v>
                </c:pt>
                <c:pt idx="7">
                  <c:v>-0.690079011482112</c:v>
                </c:pt>
                <c:pt idx="8">
                  <c:v>-0.5406408174555982</c:v>
                </c:pt>
                <c:pt idx="9">
                  <c:v>-0.3716624556603281</c:v>
                </c:pt>
                <c:pt idx="10">
                  <c:v>-0.18925124436041063</c:v>
                </c:pt>
                <c:pt idx="11">
                  <c:v>0</c:v>
                </c:pt>
                <c:pt idx="12">
                  <c:v>0.1892512443604102</c:v>
                </c:pt>
                <c:pt idx="13">
                  <c:v>0.3716624556603275</c:v>
                </c:pt>
                <c:pt idx="14">
                  <c:v>0.5406408174555976</c:v>
                </c:pt>
                <c:pt idx="15">
                  <c:v>0.6900790114821119</c:v>
                </c:pt>
                <c:pt idx="16">
                  <c:v>0.8145759520503357</c:v>
                </c:pt>
                <c:pt idx="17">
                  <c:v>0.9096319953545183</c:v>
                </c:pt>
                <c:pt idx="18">
                  <c:v>0.9718115683235417</c:v>
                </c:pt>
                <c:pt idx="19">
                  <c:v>0.998867339183008</c:v>
                </c:pt>
                <c:pt idx="20">
                  <c:v>0.9898214418809328</c:v>
                </c:pt>
                <c:pt idx="21">
                  <c:v>0.9450008187146685</c:v>
                </c:pt>
                <c:pt idx="22">
                  <c:v>0.8660254037844387</c:v>
                </c:pt>
                <c:pt idx="23">
                  <c:v>0.7557495743542583</c:v>
                </c:pt>
                <c:pt idx="24">
                  <c:v>0.6181589862206051</c:v>
                </c:pt>
                <c:pt idx="25">
                  <c:v>0.4582265217274105</c:v>
                </c:pt>
                <c:pt idx="26">
                  <c:v>0.28173255684143006</c:v>
                </c:pt>
                <c:pt idx="27">
                  <c:v>0.09505604330418288</c:v>
                </c:pt>
                <c:pt idx="28">
                  <c:v>-0.09505604330418263</c:v>
                </c:pt>
                <c:pt idx="29">
                  <c:v>-0.2817325568414294</c:v>
                </c:pt>
                <c:pt idx="30">
                  <c:v>-0.4582265217274099</c:v>
                </c:pt>
              </c:numCache>
            </c:numRef>
          </c:val>
          <c:smooth val="0"/>
        </c:ser>
        <c:marker val="1"/>
        <c:axId val="1326913"/>
        <c:axId val="11942218"/>
      </c:lineChart>
      <c:catAx>
        <c:axId val="1326913"/>
        <c:scaling>
          <c:orientation val="minMax"/>
        </c:scaling>
        <c:axPos val="b"/>
        <c:title>
          <c:tx>
            <c:rich>
              <a:bodyPr vert="horz" rot="0" anchor="ctr"/>
              <a:lstStyle/>
              <a:p>
                <a:pPr algn="ctr">
                  <a:defRPr/>
                </a:pPr>
                <a:r>
                  <a:rPr lang="en-US" cap="none" sz="1100" b="0" i="0" u="none" baseline="0">
                    <a:solidFill>
                      <a:srgbClr val="000000"/>
                    </a:solidFill>
                  </a:rPr>
                  <a:t>日　付</a:t>
                </a:r>
              </a:p>
            </c:rich>
          </c:tx>
          <c:layout>
            <c:manualLayout>
              <c:xMode val="factor"/>
              <c:yMode val="factor"/>
              <c:x val="0"/>
              <c:y val="0.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942218"/>
        <c:crosses val="autoZero"/>
        <c:auto val="0"/>
        <c:lblOffset val="100"/>
        <c:tickLblSkip val="2"/>
        <c:noMultiLvlLbl val="0"/>
      </c:catAx>
      <c:valAx>
        <c:axId val="11942218"/>
        <c:scaling>
          <c:orientation val="minMax"/>
        </c:scaling>
        <c:axPos val="l"/>
        <c:title>
          <c:tx>
            <c:rich>
              <a:bodyPr vert="horz" rot="-5400000" anchor="ctr"/>
              <a:lstStyle/>
              <a:p>
                <a:pPr algn="ctr">
                  <a:defRPr/>
                </a:pPr>
                <a:r>
                  <a:rPr lang="en-US" cap="none" sz="1100" b="0" i="0" u="none" baseline="0">
                    <a:solidFill>
                      <a:srgbClr val="000000"/>
                    </a:solidFill>
                  </a:rPr>
                  <a:t>沈静←　　　不安↓定　　　　→高揚</a:t>
                </a:r>
              </a:p>
            </c:rich>
          </c:tx>
          <c:layout>
            <c:manualLayout>
              <c:xMode val="factor"/>
              <c:yMode val="factor"/>
              <c:x val="0.00025"/>
              <c:y val="0.000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326913"/>
        <c:crossesAt val="1"/>
        <c:crossBetween val="between"/>
        <c:dispUnits/>
      </c:valAx>
      <c:spPr>
        <a:solidFill>
          <a:srgbClr val="C0C0C0"/>
        </a:solidFill>
        <a:ln w="12700">
          <a:solidFill>
            <a:srgbClr val="808080"/>
          </a:solidFill>
        </a:ln>
      </c:spPr>
    </c:plotArea>
    <c:legend>
      <c:legendPos val="b"/>
      <c:layout>
        <c:manualLayout>
          <c:xMode val="edge"/>
          <c:yMode val="edge"/>
          <c:x val="0.43825"/>
          <c:y val="0.9565"/>
          <c:w val="0.1905"/>
          <c:h val="0.036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0"/>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'ﾊﾞｲｵﾘｽﾞﾑ計算'!$B$53</c:f>
        </c:strRef>
      </c:tx>
      <c:layout>
        <c:manualLayout>
          <c:xMode val="factor"/>
          <c:yMode val="factor"/>
          <c:x val="0.1"/>
          <c:y val="-0.00175"/>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33"/>
          <c:y val="0.125"/>
          <c:w val="0.95575"/>
          <c:h val="0.75025"/>
        </c:manualLayout>
      </c:layout>
      <c:lineChart>
        <c:grouping val="standard"/>
        <c:varyColors val="0"/>
        <c:ser>
          <c:idx val="0"/>
          <c:order val="0"/>
          <c:tx>
            <c:v>Ａ知性　　</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'ﾊﾞｲｵﾘｽﾞﾑ計算'!$G$4:$G$34</c:f>
              <c:numCache>
                <c:ptCount val="31"/>
                <c:pt idx="0">
                  <c:v>-0.9096319953545186</c:v>
                </c:pt>
                <c:pt idx="1">
                  <c:v>-0.8145759520503358</c:v>
                </c:pt>
                <c:pt idx="2">
                  <c:v>-0.690079011482112</c:v>
                </c:pt>
                <c:pt idx="3">
                  <c:v>-0.5406408174555982</c:v>
                </c:pt>
                <c:pt idx="4">
                  <c:v>-0.3716624556603281</c:v>
                </c:pt>
                <c:pt idx="5">
                  <c:v>-0.18925124436041063</c:v>
                </c:pt>
                <c:pt idx="6">
                  <c:v>0</c:v>
                </c:pt>
                <c:pt idx="7">
                  <c:v>0.1892512443604102</c:v>
                </c:pt>
                <c:pt idx="8">
                  <c:v>0.3716624556603275</c:v>
                </c:pt>
                <c:pt idx="9">
                  <c:v>0.5406408174555976</c:v>
                </c:pt>
                <c:pt idx="10">
                  <c:v>0.6900790114821119</c:v>
                </c:pt>
                <c:pt idx="11">
                  <c:v>0.8145759520503357</c:v>
                </c:pt>
                <c:pt idx="12">
                  <c:v>0.9096319953545183</c:v>
                </c:pt>
                <c:pt idx="13">
                  <c:v>0.9718115683235417</c:v>
                </c:pt>
                <c:pt idx="14">
                  <c:v>0.998867339183008</c:v>
                </c:pt>
                <c:pt idx="15">
                  <c:v>0.9898214418809328</c:v>
                </c:pt>
                <c:pt idx="16">
                  <c:v>0.9450008187146685</c:v>
                </c:pt>
                <c:pt idx="17">
                  <c:v>0.8660254037844387</c:v>
                </c:pt>
                <c:pt idx="18">
                  <c:v>0.7557495743542583</c:v>
                </c:pt>
                <c:pt idx="19">
                  <c:v>0.6181589862206051</c:v>
                </c:pt>
                <c:pt idx="20">
                  <c:v>0.4582265217274105</c:v>
                </c:pt>
                <c:pt idx="21">
                  <c:v>0.28173255684143006</c:v>
                </c:pt>
                <c:pt idx="22">
                  <c:v>0.09505604330418288</c:v>
                </c:pt>
                <c:pt idx="23">
                  <c:v>-0.09505604330418263</c:v>
                </c:pt>
                <c:pt idx="24">
                  <c:v>-0.2817325568414294</c:v>
                </c:pt>
                <c:pt idx="25">
                  <c:v>-0.4582265217274099</c:v>
                </c:pt>
                <c:pt idx="26">
                  <c:v>-0.6181589862206053</c:v>
                </c:pt>
                <c:pt idx="27">
                  <c:v>-0.7557495743542585</c:v>
                </c:pt>
                <c:pt idx="28">
                  <c:v>-0.8660254037844384</c:v>
                </c:pt>
                <c:pt idx="29">
                  <c:v>-0.9450008187146683</c:v>
                </c:pt>
                <c:pt idx="30">
                  <c:v>-0.9898214418809327</c:v>
                </c:pt>
              </c:numCache>
            </c:numRef>
          </c:val>
          <c:smooth val="0"/>
        </c:ser>
        <c:ser>
          <c:idx val="1"/>
          <c:order val="1"/>
          <c:tx>
            <c:v>Ｂ知性</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'ﾊﾞｲｵﾘｽﾞﾑ計算'!$C$4:$C$34</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'ﾊﾞｲｵﾘｽﾞﾑ計算'!$L$4:$L$34</c:f>
              <c:numCache>
                <c:ptCount val="31"/>
                <c:pt idx="0">
                  <c:v>-0.8660254037844384</c:v>
                </c:pt>
                <c:pt idx="1">
                  <c:v>-0.9450008187146683</c:v>
                </c:pt>
                <c:pt idx="2">
                  <c:v>-0.9898214418809327</c:v>
                </c:pt>
                <c:pt idx="3">
                  <c:v>-0.998867339183008</c:v>
                </c:pt>
                <c:pt idx="4">
                  <c:v>-0.9718115683235417</c:v>
                </c:pt>
                <c:pt idx="5">
                  <c:v>-0.9096319953545186</c:v>
                </c:pt>
                <c:pt idx="6">
                  <c:v>-0.8145759520503358</c:v>
                </c:pt>
                <c:pt idx="7">
                  <c:v>-0.690079011482112</c:v>
                </c:pt>
                <c:pt idx="8">
                  <c:v>-0.5406408174555982</c:v>
                </c:pt>
                <c:pt idx="9">
                  <c:v>-0.3716624556603281</c:v>
                </c:pt>
                <c:pt idx="10">
                  <c:v>-0.18925124436041063</c:v>
                </c:pt>
                <c:pt idx="11">
                  <c:v>0</c:v>
                </c:pt>
                <c:pt idx="12">
                  <c:v>0.1892512443604102</c:v>
                </c:pt>
                <c:pt idx="13">
                  <c:v>0.3716624556603275</c:v>
                </c:pt>
                <c:pt idx="14">
                  <c:v>0.5406408174555976</c:v>
                </c:pt>
                <c:pt idx="15">
                  <c:v>0.6900790114821119</c:v>
                </c:pt>
                <c:pt idx="16">
                  <c:v>0.8145759520503357</c:v>
                </c:pt>
                <c:pt idx="17">
                  <c:v>0.9096319953545183</c:v>
                </c:pt>
                <c:pt idx="18">
                  <c:v>0.9718115683235417</c:v>
                </c:pt>
                <c:pt idx="19">
                  <c:v>0.998867339183008</c:v>
                </c:pt>
                <c:pt idx="20">
                  <c:v>0.9898214418809328</c:v>
                </c:pt>
                <c:pt idx="21">
                  <c:v>0.9450008187146685</c:v>
                </c:pt>
                <c:pt idx="22">
                  <c:v>0.8660254037844387</c:v>
                </c:pt>
                <c:pt idx="23">
                  <c:v>0.7557495743542583</c:v>
                </c:pt>
                <c:pt idx="24">
                  <c:v>0.6181589862206051</c:v>
                </c:pt>
                <c:pt idx="25">
                  <c:v>0.4582265217274105</c:v>
                </c:pt>
                <c:pt idx="26">
                  <c:v>0.28173255684143006</c:v>
                </c:pt>
                <c:pt idx="27">
                  <c:v>0.09505604330418288</c:v>
                </c:pt>
                <c:pt idx="28">
                  <c:v>-0.09505604330418263</c:v>
                </c:pt>
                <c:pt idx="29">
                  <c:v>-0.2817325568414294</c:v>
                </c:pt>
                <c:pt idx="30">
                  <c:v>-0.4582265217274099</c:v>
                </c:pt>
              </c:numCache>
            </c:numRef>
          </c:val>
          <c:smooth val="0"/>
        </c:ser>
        <c:ser>
          <c:idx val="2"/>
          <c:order val="2"/>
          <c:tx>
            <c:v>Ｃ知性</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val>
            <c:numRef>
              <c:f>'ﾊﾞｲｵﾘｽﾞﾑ計算'!$Q$4:$Q$34</c:f>
              <c:numCache>
                <c:ptCount val="31"/>
                <c:pt idx="0">
                  <c:v>-0.8145759520503358</c:v>
                </c:pt>
                <c:pt idx="1">
                  <c:v>-0.690079011482112</c:v>
                </c:pt>
                <c:pt idx="2">
                  <c:v>-0.5406408174555982</c:v>
                </c:pt>
                <c:pt idx="3">
                  <c:v>-0.3716624556603281</c:v>
                </c:pt>
                <c:pt idx="4">
                  <c:v>-0.18925124436041063</c:v>
                </c:pt>
                <c:pt idx="5">
                  <c:v>0</c:v>
                </c:pt>
                <c:pt idx="6">
                  <c:v>0.1892512443604102</c:v>
                </c:pt>
                <c:pt idx="7">
                  <c:v>0.3716624556603275</c:v>
                </c:pt>
                <c:pt idx="8">
                  <c:v>0.5406408174555976</c:v>
                </c:pt>
                <c:pt idx="9">
                  <c:v>0.6900790114821119</c:v>
                </c:pt>
                <c:pt idx="10">
                  <c:v>0.8145759520503357</c:v>
                </c:pt>
                <c:pt idx="11">
                  <c:v>0.9096319953545183</c:v>
                </c:pt>
                <c:pt idx="12">
                  <c:v>0.9718115683235417</c:v>
                </c:pt>
                <c:pt idx="13">
                  <c:v>0.998867339183008</c:v>
                </c:pt>
                <c:pt idx="14">
                  <c:v>0.9898214418809328</c:v>
                </c:pt>
                <c:pt idx="15">
                  <c:v>0.9450008187146685</c:v>
                </c:pt>
                <c:pt idx="16">
                  <c:v>0.8660254037844387</c:v>
                </c:pt>
                <c:pt idx="17">
                  <c:v>0.7557495743542583</c:v>
                </c:pt>
                <c:pt idx="18">
                  <c:v>0.6181589862206051</c:v>
                </c:pt>
                <c:pt idx="19">
                  <c:v>0.4582265217274105</c:v>
                </c:pt>
                <c:pt idx="20">
                  <c:v>0.28173255684143006</c:v>
                </c:pt>
                <c:pt idx="21">
                  <c:v>0.09505604330418288</c:v>
                </c:pt>
                <c:pt idx="22">
                  <c:v>-0.09505604330418263</c:v>
                </c:pt>
                <c:pt idx="23">
                  <c:v>-0.2817325568414294</c:v>
                </c:pt>
                <c:pt idx="24">
                  <c:v>-0.4582265217274099</c:v>
                </c:pt>
                <c:pt idx="25">
                  <c:v>-0.6181589862206053</c:v>
                </c:pt>
                <c:pt idx="26">
                  <c:v>-0.7557495743542585</c:v>
                </c:pt>
                <c:pt idx="27">
                  <c:v>-0.8660254037844384</c:v>
                </c:pt>
                <c:pt idx="28">
                  <c:v>-0.9450008187146683</c:v>
                </c:pt>
                <c:pt idx="29">
                  <c:v>-0.9898214418809327</c:v>
                </c:pt>
                <c:pt idx="30">
                  <c:v>-0.998867339183008</c:v>
                </c:pt>
              </c:numCache>
            </c:numRef>
          </c:val>
          <c:smooth val="0"/>
        </c:ser>
        <c:ser>
          <c:idx val="3"/>
          <c:order val="3"/>
          <c:tx>
            <c:v>Ｄ知性</c:v>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val>
            <c:numRef>
              <c:f>'ﾊﾞｲｵﾘｽﾞﾑ計算'!$V$4:$V$34</c:f>
              <c:numCache>
                <c:ptCount val="31"/>
                <c:pt idx="0">
                  <c:v>-0.9096319953545186</c:v>
                </c:pt>
                <c:pt idx="1">
                  <c:v>-0.8145759520503358</c:v>
                </c:pt>
                <c:pt idx="2">
                  <c:v>-0.690079011482112</c:v>
                </c:pt>
                <c:pt idx="3">
                  <c:v>-0.5406408174555982</c:v>
                </c:pt>
                <c:pt idx="4">
                  <c:v>-0.3716624556603281</c:v>
                </c:pt>
                <c:pt idx="5">
                  <c:v>-0.18925124436041063</c:v>
                </c:pt>
                <c:pt idx="6">
                  <c:v>0</c:v>
                </c:pt>
                <c:pt idx="7">
                  <c:v>0.1892512443604102</c:v>
                </c:pt>
                <c:pt idx="8">
                  <c:v>0.3716624556603275</c:v>
                </c:pt>
                <c:pt idx="9">
                  <c:v>0.5406408174555976</c:v>
                </c:pt>
                <c:pt idx="10">
                  <c:v>0.6900790114821119</c:v>
                </c:pt>
                <c:pt idx="11">
                  <c:v>0.8145759520503357</c:v>
                </c:pt>
                <c:pt idx="12">
                  <c:v>0.9096319953545183</c:v>
                </c:pt>
                <c:pt idx="13">
                  <c:v>0.9718115683235417</c:v>
                </c:pt>
                <c:pt idx="14">
                  <c:v>0.998867339183008</c:v>
                </c:pt>
                <c:pt idx="15">
                  <c:v>0.9898214418809328</c:v>
                </c:pt>
                <c:pt idx="16">
                  <c:v>0.9450008187146685</c:v>
                </c:pt>
                <c:pt idx="17">
                  <c:v>0.8660254037844387</c:v>
                </c:pt>
                <c:pt idx="18">
                  <c:v>0.7557495743542583</c:v>
                </c:pt>
                <c:pt idx="19">
                  <c:v>0.6181589862206051</c:v>
                </c:pt>
                <c:pt idx="20">
                  <c:v>0.4582265217274105</c:v>
                </c:pt>
                <c:pt idx="21">
                  <c:v>0.28173255684143006</c:v>
                </c:pt>
                <c:pt idx="22">
                  <c:v>0.09505604330418288</c:v>
                </c:pt>
                <c:pt idx="23">
                  <c:v>-0.09505604330418263</c:v>
                </c:pt>
                <c:pt idx="24">
                  <c:v>-0.2817325568414294</c:v>
                </c:pt>
                <c:pt idx="25">
                  <c:v>-0.4582265217274099</c:v>
                </c:pt>
                <c:pt idx="26">
                  <c:v>-0.6181589862206053</c:v>
                </c:pt>
                <c:pt idx="27">
                  <c:v>-0.7557495743542585</c:v>
                </c:pt>
                <c:pt idx="28">
                  <c:v>-0.8660254037844384</c:v>
                </c:pt>
                <c:pt idx="29">
                  <c:v>-0.9450008187146683</c:v>
                </c:pt>
                <c:pt idx="30">
                  <c:v>-0.9898214418809327</c:v>
                </c:pt>
              </c:numCache>
            </c:numRef>
          </c:val>
          <c:smooth val="0"/>
        </c:ser>
        <c:ser>
          <c:idx val="4"/>
          <c:order val="4"/>
          <c:tx>
            <c:v>Ｅ知性</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00"/>
                </a:solidFill>
              </a:ln>
            </c:spPr>
          </c:marker>
          <c:val>
            <c:numRef>
              <c:f>'ﾊﾞｲｵﾘｽﾞﾑ計算'!$AA$4:$AA$34</c:f>
              <c:numCache>
                <c:ptCount val="31"/>
                <c:pt idx="0">
                  <c:v>-0.3716624556603281</c:v>
                </c:pt>
                <c:pt idx="1">
                  <c:v>-0.18925124436041063</c:v>
                </c:pt>
                <c:pt idx="2">
                  <c:v>0</c:v>
                </c:pt>
                <c:pt idx="3">
                  <c:v>0.1892512443604102</c:v>
                </c:pt>
                <c:pt idx="4">
                  <c:v>0.3716624556603275</c:v>
                </c:pt>
                <c:pt idx="5">
                  <c:v>0.5406408174555976</c:v>
                </c:pt>
                <c:pt idx="6">
                  <c:v>0.6900790114821119</c:v>
                </c:pt>
                <c:pt idx="7">
                  <c:v>0.8145759520503357</c:v>
                </c:pt>
                <c:pt idx="8">
                  <c:v>0.9096319953545183</c:v>
                </c:pt>
                <c:pt idx="9">
                  <c:v>0.9718115683235417</c:v>
                </c:pt>
                <c:pt idx="10">
                  <c:v>0.998867339183008</c:v>
                </c:pt>
                <c:pt idx="11">
                  <c:v>0.9898214418809328</c:v>
                </c:pt>
                <c:pt idx="12">
                  <c:v>0.9450008187146685</c:v>
                </c:pt>
                <c:pt idx="13">
                  <c:v>0.8660254037844387</c:v>
                </c:pt>
                <c:pt idx="14">
                  <c:v>0.7557495743542583</c:v>
                </c:pt>
                <c:pt idx="15">
                  <c:v>0.6181589862206051</c:v>
                </c:pt>
                <c:pt idx="16">
                  <c:v>0.4582265217274105</c:v>
                </c:pt>
                <c:pt idx="17">
                  <c:v>0.28173255684143006</c:v>
                </c:pt>
                <c:pt idx="18">
                  <c:v>0.09505604330418288</c:v>
                </c:pt>
                <c:pt idx="19">
                  <c:v>-0.09505604330418263</c:v>
                </c:pt>
                <c:pt idx="20">
                  <c:v>-0.2817325568414294</c:v>
                </c:pt>
                <c:pt idx="21">
                  <c:v>-0.4582265217274099</c:v>
                </c:pt>
                <c:pt idx="22">
                  <c:v>-0.6181589862206053</c:v>
                </c:pt>
                <c:pt idx="23">
                  <c:v>-0.7557495743542585</c:v>
                </c:pt>
                <c:pt idx="24">
                  <c:v>-0.8660254037844384</c:v>
                </c:pt>
                <c:pt idx="25">
                  <c:v>-0.9450008187146683</c:v>
                </c:pt>
                <c:pt idx="26">
                  <c:v>-0.9898214418809327</c:v>
                </c:pt>
                <c:pt idx="27">
                  <c:v>-0.998867339183008</c:v>
                </c:pt>
                <c:pt idx="28">
                  <c:v>-0.9718115683235417</c:v>
                </c:pt>
                <c:pt idx="29">
                  <c:v>-0.9096319953545186</c:v>
                </c:pt>
                <c:pt idx="30">
                  <c:v>-0.8145759520503358</c:v>
                </c:pt>
              </c:numCache>
            </c:numRef>
          </c:val>
          <c:smooth val="0"/>
        </c:ser>
        <c:ser>
          <c:idx val="5"/>
          <c:order val="5"/>
          <c:tx>
            <c:v>Ｆ知性</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00"/>
                </a:solidFill>
              </a:ln>
            </c:spPr>
          </c:marker>
          <c:val>
            <c:numRef>
              <c:f>'ﾊﾞｲｵﾘｽﾞﾑ計算'!$AF$4:$AF$34</c:f>
              <c:numCache>
                <c:ptCount val="31"/>
                <c:pt idx="0">
                  <c:v>-0.3716624556603281</c:v>
                </c:pt>
                <c:pt idx="1">
                  <c:v>-0.18925124436041063</c:v>
                </c:pt>
                <c:pt idx="2">
                  <c:v>0</c:v>
                </c:pt>
                <c:pt idx="3">
                  <c:v>0.1892512443604102</c:v>
                </c:pt>
                <c:pt idx="4">
                  <c:v>0.3716624556603275</c:v>
                </c:pt>
                <c:pt idx="5">
                  <c:v>0.5406408174555976</c:v>
                </c:pt>
                <c:pt idx="6">
                  <c:v>0.6900790114821119</c:v>
                </c:pt>
                <c:pt idx="7">
                  <c:v>0.8145759520503357</c:v>
                </c:pt>
                <c:pt idx="8">
                  <c:v>0.9096319953545183</c:v>
                </c:pt>
                <c:pt idx="9">
                  <c:v>0.9718115683235417</c:v>
                </c:pt>
                <c:pt idx="10">
                  <c:v>0.998867339183008</c:v>
                </c:pt>
                <c:pt idx="11">
                  <c:v>0.9898214418809328</c:v>
                </c:pt>
                <c:pt idx="12">
                  <c:v>0.9450008187146685</c:v>
                </c:pt>
                <c:pt idx="13">
                  <c:v>0.8660254037844387</c:v>
                </c:pt>
                <c:pt idx="14">
                  <c:v>0.7557495743542583</c:v>
                </c:pt>
                <c:pt idx="15">
                  <c:v>0.6181589862206051</c:v>
                </c:pt>
                <c:pt idx="16">
                  <c:v>0.4582265217274105</c:v>
                </c:pt>
                <c:pt idx="17">
                  <c:v>0.28173255684143006</c:v>
                </c:pt>
                <c:pt idx="18">
                  <c:v>0.09505604330418288</c:v>
                </c:pt>
                <c:pt idx="19">
                  <c:v>-0.09505604330418263</c:v>
                </c:pt>
                <c:pt idx="20">
                  <c:v>-0.2817325568414294</c:v>
                </c:pt>
                <c:pt idx="21">
                  <c:v>-0.4582265217274099</c:v>
                </c:pt>
                <c:pt idx="22">
                  <c:v>-0.6181589862206053</c:v>
                </c:pt>
                <c:pt idx="23">
                  <c:v>-0.7557495743542585</c:v>
                </c:pt>
                <c:pt idx="24">
                  <c:v>-0.8660254037844384</c:v>
                </c:pt>
                <c:pt idx="25">
                  <c:v>-0.9450008187146683</c:v>
                </c:pt>
                <c:pt idx="26">
                  <c:v>-0.9898214418809327</c:v>
                </c:pt>
                <c:pt idx="27">
                  <c:v>-0.998867339183008</c:v>
                </c:pt>
                <c:pt idx="28">
                  <c:v>-0.9718115683235417</c:v>
                </c:pt>
                <c:pt idx="29">
                  <c:v>-0.9096319953545186</c:v>
                </c:pt>
                <c:pt idx="30">
                  <c:v>-0.8145759520503358</c:v>
                </c:pt>
              </c:numCache>
            </c:numRef>
          </c:val>
          <c:smooth val="0"/>
        </c:ser>
        <c:ser>
          <c:idx val="6"/>
          <c:order val="6"/>
          <c:tx>
            <c:v>Ｇ知性</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00"/>
                </a:solidFill>
              </a:ln>
            </c:spPr>
          </c:marker>
          <c:val>
            <c:numRef>
              <c:f>'ﾊﾞｲｵﾘｽﾞﾑ計算'!$AK$4:$AK$34</c:f>
              <c:numCache>
                <c:ptCount val="31"/>
                <c:pt idx="0">
                  <c:v>-0.09505604330418263</c:v>
                </c:pt>
                <c:pt idx="1">
                  <c:v>-0.2817325568414294</c:v>
                </c:pt>
                <c:pt idx="2">
                  <c:v>-0.4582265217274099</c:v>
                </c:pt>
                <c:pt idx="3">
                  <c:v>-0.6181589862206053</c:v>
                </c:pt>
                <c:pt idx="4">
                  <c:v>-0.7557495743542585</c:v>
                </c:pt>
                <c:pt idx="5">
                  <c:v>-0.8660254037844384</c:v>
                </c:pt>
                <c:pt idx="6">
                  <c:v>-0.9450008187146683</c:v>
                </c:pt>
                <c:pt idx="7">
                  <c:v>-0.9898214418809327</c:v>
                </c:pt>
                <c:pt idx="8">
                  <c:v>-0.998867339183008</c:v>
                </c:pt>
                <c:pt idx="9">
                  <c:v>-0.9718115683235417</c:v>
                </c:pt>
                <c:pt idx="10">
                  <c:v>-0.9096319953545186</c:v>
                </c:pt>
                <c:pt idx="11">
                  <c:v>-0.8145759520503358</c:v>
                </c:pt>
                <c:pt idx="12">
                  <c:v>-0.690079011482112</c:v>
                </c:pt>
                <c:pt idx="13">
                  <c:v>-0.5406408174555982</c:v>
                </c:pt>
                <c:pt idx="14">
                  <c:v>-0.3716624556603281</c:v>
                </c:pt>
                <c:pt idx="15">
                  <c:v>-0.18925124436041063</c:v>
                </c:pt>
                <c:pt idx="16">
                  <c:v>0</c:v>
                </c:pt>
                <c:pt idx="17">
                  <c:v>0.1892512443604102</c:v>
                </c:pt>
                <c:pt idx="18">
                  <c:v>0.3716624556603275</c:v>
                </c:pt>
                <c:pt idx="19">
                  <c:v>0.5406408174555976</c:v>
                </c:pt>
                <c:pt idx="20">
                  <c:v>0.6900790114821119</c:v>
                </c:pt>
                <c:pt idx="21">
                  <c:v>0.8145759520503357</c:v>
                </c:pt>
                <c:pt idx="22">
                  <c:v>0.9096319953545183</c:v>
                </c:pt>
                <c:pt idx="23">
                  <c:v>0.9718115683235417</c:v>
                </c:pt>
                <c:pt idx="24">
                  <c:v>0.998867339183008</c:v>
                </c:pt>
                <c:pt idx="25">
                  <c:v>0.9898214418809328</c:v>
                </c:pt>
                <c:pt idx="26">
                  <c:v>0.9450008187146685</c:v>
                </c:pt>
                <c:pt idx="27">
                  <c:v>0.8660254037844387</c:v>
                </c:pt>
                <c:pt idx="28">
                  <c:v>0.7557495743542583</c:v>
                </c:pt>
                <c:pt idx="29">
                  <c:v>0.6181589862206051</c:v>
                </c:pt>
                <c:pt idx="30">
                  <c:v>0.4582265217274105</c:v>
                </c:pt>
              </c:numCache>
            </c:numRef>
          </c:val>
          <c:smooth val="0"/>
        </c:ser>
        <c:ser>
          <c:idx val="7"/>
          <c:order val="7"/>
          <c:tx>
            <c:v>Ｈ知性</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val>
            <c:numRef>
              <c:f>'ﾊﾞｲｵﾘｽﾞﾑ計算'!$AP$4:$AP$34</c:f>
              <c:numCache>
                <c:ptCount val="31"/>
                <c:pt idx="0">
                  <c:v>0.9898214418809328</c:v>
                </c:pt>
                <c:pt idx="1">
                  <c:v>0.9450008187146685</c:v>
                </c:pt>
                <c:pt idx="2">
                  <c:v>0.8660254037844387</c:v>
                </c:pt>
                <c:pt idx="3">
                  <c:v>0.7557495743542583</c:v>
                </c:pt>
                <c:pt idx="4">
                  <c:v>0.6181589862206051</c:v>
                </c:pt>
                <c:pt idx="5">
                  <c:v>0.4582265217274105</c:v>
                </c:pt>
                <c:pt idx="6">
                  <c:v>0.28173255684143006</c:v>
                </c:pt>
                <c:pt idx="7">
                  <c:v>0.09505604330418288</c:v>
                </c:pt>
                <c:pt idx="8">
                  <c:v>-0.09505604330418263</c:v>
                </c:pt>
                <c:pt idx="9">
                  <c:v>-0.2817325568414294</c:v>
                </c:pt>
                <c:pt idx="10">
                  <c:v>-0.4582265217274099</c:v>
                </c:pt>
                <c:pt idx="11">
                  <c:v>-0.6181589862206053</c:v>
                </c:pt>
                <c:pt idx="12">
                  <c:v>-0.7557495743542585</c:v>
                </c:pt>
                <c:pt idx="13">
                  <c:v>-0.8660254037844384</c:v>
                </c:pt>
                <c:pt idx="14">
                  <c:v>-0.9450008187146683</c:v>
                </c:pt>
                <c:pt idx="15">
                  <c:v>-0.9898214418809327</c:v>
                </c:pt>
                <c:pt idx="16">
                  <c:v>-0.998867339183008</c:v>
                </c:pt>
                <c:pt idx="17">
                  <c:v>-0.9718115683235417</c:v>
                </c:pt>
                <c:pt idx="18">
                  <c:v>-0.9096319953545186</c:v>
                </c:pt>
                <c:pt idx="19">
                  <c:v>-0.8145759520503358</c:v>
                </c:pt>
                <c:pt idx="20">
                  <c:v>-0.690079011482112</c:v>
                </c:pt>
                <c:pt idx="21">
                  <c:v>-0.5406408174555982</c:v>
                </c:pt>
                <c:pt idx="22">
                  <c:v>-0.3716624556603281</c:v>
                </c:pt>
                <c:pt idx="23">
                  <c:v>-0.18925124436041063</c:v>
                </c:pt>
                <c:pt idx="24">
                  <c:v>0</c:v>
                </c:pt>
                <c:pt idx="25">
                  <c:v>0.1892512443604102</c:v>
                </c:pt>
                <c:pt idx="26">
                  <c:v>0.3716624556603275</c:v>
                </c:pt>
                <c:pt idx="27">
                  <c:v>0.5406408174555976</c:v>
                </c:pt>
                <c:pt idx="28">
                  <c:v>0.6900790114821119</c:v>
                </c:pt>
                <c:pt idx="29">
                  <c:v>0.8145759520503357</c:v>
                </c:pt>
                <c:pt idx="30">
                  <c:v>0.9096319953545183</c:v>
                </c:pt>
              </c:numCache>
            </c:numRef>
          </c:val>
          <c:smooth val="0"/>
        </c:ser>
        <c:marker val="1"/>
        <c:axId val="40371099"/>
        <c:axId val="27795572"/>
      </c:lineChart>
      <c:catAx>
        <c:axId val="40371099"/>
        <c:scaling>
          <c:orientation val="minMax"/>
        </c:scaling>
        <c:axPos val="b"/>
        <c:title>
          <c:tx>
            <c:rich>
              <a:bodyPr vert="horz" rot="0" anchor="ctr"/>
              <a:lstStyle/>
              <a:p>
                <a:pPr algn="ctr">
                  <a:defRPr/>
                </a:pPr>
                <a:r>
                  <a:rPr lang="en-US" cap="none" sz="1100" b="0" i="0" u="none" baseline="0">
                    <a:solidFill>
                      <a:srgbClr val="000000"/>
                    </a:solidFill>
                  </a:rPr>
                  <a:t>日　付</a:t>
                </a:r>
              </a:p>
            </c:rich>
          </c:tx>
          <c:layout>
            <c:manualLayout>
              <c:xMode val="factor"/>
              <c:yMode val="factor"/>
              <c:x val="0"/>
              <c:y val="0.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795572"/>
        <c:crosses val="autoZero"/>
        <c:auto val="0"/>
        <c:lblOffset val="100"/>
        <c:tickLblSkip val="2"/>
        <c:noMultiLvlLbl val="0"/>
      </c:catAx>
      <c:valAx>
        <c:axId val="27795572"/>
        <c:scaling>
          <c:orientation val="minMax"/>
        </c:scaling>
        <c:axPos val="l"/>
        <c:title>
          <c:tx>
            <c:rich>
              <a:bodyPr vert="horz" rot="-5400000" anchor="ctr"/>
              <a:lstStyle/>
              <a:p>
                <a:pPr algn="ctr">
                  <a:defRPr/>
                </a:pPr>
                <a:r>
                  <a:rPr lang="en-US" cap="none" sz="1100" b="0" i="0" u="none" baseline="0">
                    <a:solidFill>
                      <a:srgbClr val="000000"/>
                    </a:solidFill>
                  </a:rPr>
                  <a:t>沈静←　　　不安↓定　　　　→高揚</a:t>
                </a:r>
              </a:p>
            </c:rich>
          </c:tx>
          <c:layout>
            <c:manualLayout>
              <c:xMode val="factor"/>
              <c:yMode val="factor"/>
              <c:x val="0.00025"/>
              <c:y val="0.0005"/>
            </c:manualLayout>
          </c:layout>
          <c:overlay val="0"/>
          <c:spPr>
            <a:noFill/>
            <a:ln>
              <a:noFill/>
            </a:ln>
          </c:spPr>
        </c:title>
        <c:delete val="0"/>
        <c:numFmt formatCode="General" sourceLinked="1"/>
        <c:majorTickMark val="in"/>
        <c:minorTickMark val="none"/>
        <c:tickLblPos val="nextTo"/>
        <c:spPr>
          <a:ln w="3175">
            <a:solidFill>
              <a:srgbClr val="000000"/>
            </a:solidFill>
          </a:ln>
        </c:spPr>
        <c:crossAx val="40371099"/>
        <c:crossesAt val="1"/>
        <c:crossBetween val="between"/>
        <c:dispUnits/>
      </c:valAx>
      <c:spPr>
        <a:solidFill>
          <a:srgbClr val="C0C0C0"/>
        </a:solidFill>
        <a:ln w="12700">
          <a:solidFill>
            <a:srgbClr val="808080"/>
          </a:solidFill>
        </a:ln>
      </c:spPr>
    </c:plotArea>
    <c:legend>
      <c:legendPos val="b"/>
      <c:layout>
        <c:manualLayout>
          <c:xMode val="edge"/>
          <c:yMode val="edge"/>
          <c:x val="0.2365"/>
          <c:y val="0.9565"/>
          <c:w val="0.712"/>
          <c:h val="0.034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0"/>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 right="0.787" top="0.984" bottom="0.984" header="0.512" footer="0.51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3"/>
  </sheetViews>
  <pageMargins left="0.787" right="0.787" top="0.984" bottom="0.984" header="0.512" footer="0.512"/>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3"/>
  </sheetViews>
  <pageMargins left="0.787" right="0.787" top="0.984" bottom="0.984" header="0.512" footer="0.512"/>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3"/>
  </sheetViews>
  <pageMargins left="0.787" right="0.787" top="0.984" bottom="0.984" header="0.512" footer="0.512"/>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93"/>
  </sheetViews>
  <pageMargins left="0.787" right="0.787" top="0.984" bottom="0.984" header="0.512" footer="0.512"/>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Chart 1"/>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azon.co.jp/exec/obidos/ASIN/406117806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neagram.gr.jp/" TargetMode="External" /><Relationship Id="rId2" Type="http://schemas.openxmlformats.org/officeDocument/2006/relationships/hyperlink" Target="http://www.enneagram.gr.jp/check/index.html" TargetMode="External" /><Relationship Id="rId3" Type="http://schemas.openxmlformats.org/officeDocument/2006/relationships/hyperlink" Target="https://www.psygram.jp/introduction/download/win.php" TargetMode="External" /><Relationship Id="rId4" Type="http://schemas.openxmlformats.org/officeDocument/2006/relationships/hyperlink" Target="http://www.hisatune.net/html/02-kenkyuu/tyosaku/ichiran.htm" TargetMode="External" /><Relationship Id="rId5" Type="http://schemas.openxmlformats.org/officeDocument/2006/relationships/hyperlink" Target="http://www.mindmap.ne.jp/" TargetMode="External" /><Relationship Id="rId6" Type="http://schemas.openxmlformats.org/officeDocument/2006/relationships/hyperlink" Target="http://www.office-rose.com/enneagram/sitemap.html" TargetMode="External" /><Relationship Id="rId7" Type="http://schemas.openxmlformats.org/officeDocument/2006/relationships/hyperlink" Target="http://www.h2.dion.ne.jp/~knada/" TargetMode="External" /><Relationship Id="rId8" Type="http://schemas.openxmlformats.org/officeDocument/2006/relationships/hyperlink" Target="http://www.amazon.co.jp/exec/obidos/ASIN/4492556192" TargetMode="External" /><Relationship Id="rId9" Type="http://schemas.openxmlformats.org/officeDocument/2006/relationships/hyperlink" Target="http://www.taiwa.org/kiso.html"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B1" sqref="B1:C1"/>
    </sheetView>
  </sheetViews>
  <sheetFormatPr defaultColWidth="8.66015625" defaultRowHeight="18"/>
  <cols>
    <col min="1" max="1" width="2.33203125" style="44" customWidth="1"/>
    <col min="2" max="2" width="11.08203125" style="0" customWidth="1"/>
    <col min="3" max="3" width="8" style="0" customWidth="1"/>
  </cols>
  <sheetData>
    <row r="1" spans="1:9" ht="21" customHeight="1">
      <c r="A1" s="44">
        <v>40</v>
      </c>
      <c r="B1" s="105" t="s">
        <v>167</v>
      </c>
      <c r="C1" s="106"/>
      <c r="D1" s="47"/>
      <c r="E1" s="47"/>
      <c r="F1" s="47"/>
      <c r="G1" s="47"/>
      <c r="H1" s="47"/>
      <c r="I1" s="47"/>
    </row>
    <row r="2" spans="1:9" ht="17.25" customHeight="1">
      <c r="A2" s="45" t="s">
        <v>287</v>
      </c>
      <c r="B2" s="46" t="str">
        <f>MID(A2,$A$1*0+1,$A$1)</f>
        <v>　対象の人の調子が分かったり、二人の相性や注意点がわかったり、グループで相談し合</v>
      </c>
      <c r="C2" s="47"/>
      <c r="D2" s="47"/>
      <c r="E2" s="47"/>
      <c r="F2" s="47"/>
      <c r="G2" s="47"/>
      <c r="H2" s="47"/>
      <c r="I2" s="47"/>
    </row>
    <row r="3" spans="1:9" ht="17.25" customHeight="1">
      <c r="A3" s="45"/>
      <c r="B3" s="46" t="str">
        <f>MID(A2,$A$1*1+1,$A$1)</f>
        <v>うときのタイミングなどの参考になります。有名人コンビやカップルのも分かるようにし</v>
      </c>
      <c r="C3" s="47"/>
      <c r="D3" s="47"/>
      <c r="E3" s="47"/>
      <c r="F3" s="47"/>
      <c r="G3" s="47"/>
      <c r="H3" s="47"/>
      <c r="I3" s="47"/>
    </row>
    <row r="4" spans="1:9" ht="17.25" customHeight="1">
      <c r="A4" s="45"/>
      <c r="B4" s="46" t="str">
        <f>MID(A2,$A$1*2+1,$A$1)</f>
        <v>ておきましたので、ご自分でお試しください。けっこう当っていると思いませんか？　　</v>
      </c>
      <c r="C4" s="47"/>
      <c r="D4" s="47"/>
      <c r="E4" s="47"/>
      <c r="F4" s="47"/>
      <c r="G4" s="47"/>
      <c r="H4" s="47"/>
      <c r="I4" s="47"/>
    </row>
    <row r="5" spans="1:9" ht="17.25" customHeight="1">
      <c r="A5" s="45"/>
      <c r="B5" s="46" t="str">
        <f>MID(A2,$A$1*3+1,$A$1)</f>
        <v>科学的な根拠と言われても、答えに詰まってしまうのですが、講談社から発行のブルーバ</v>
      </c>
      <c r="C5" s="47"/>
      <c r="D5" s="47"/>
      <c r="E5" s="47"/>
      <c r="F5" s="47"/>
      <c r="G5" s="47"/>
      <c r="H5" s="47"/>
      <c r="I5" s="47"/>
    </row>
    <row r="6" spans="1:9" ht="17.25" customHeight="1">
      <c r="A6" s="45"/>
      <c r="B6" s="46" t="str">
        <f>MID(A2,$A$1*4+1,$A$1)</f>
        <v>ックスで「バイオリズムとは何か」※（１９７３年初版）があります。手に入ったら参考</v>
      </c>
      <c r="C6" s="47"/>
      <c r="D6" s="47"/>
      <c r="E6" s="47"/>
      <c r="F6" s="47"/>
      <c r="G6" s="47"/>
      <c r="H6" s="47"/>
      <c r="I6" s="47"/>
    </row>
    <row r="7" spans="1:9" ht="17.25" customHeight="1">
      <c r="A7" s="45"/>
      <c r="B7" s="46" t="str">
        <f>MID(A2,$A$1*5+1,$A$1)</f>
        <v>にして下さい。</v>
      </c>
      <c r="C7" s="53" t="s">
        <v>214</v>
      </c>
      <c r="D7" s="52" t="s">
        <v>213</v>
      </c>
      <c r="E7" s="47"/>
      <c r="F7" s="47"/>
      <c r="G7" s="47"/>
      <c r="H7" s="47"/>
      <c r="I7" s="47"/>
    </row>
    <row r="8" spans="1:9" ht="7.5" customHeight="1">
      <c r="A8" s="45"/>
      <c r="B8" s="46"/>
      <c r="C8" s="47"/>
      <c r="D8" s="47"/>
      <c r="E8" s="47"/>
      <c r="F8" s="47"/>
      <c r="G8" s="47"/>
      <c r="H8" s="47"/>
      <c r="I8" s="47"/>
    </row>
    <row r="9" spans="1:9" ht="17.25" customHeight="1">
      <c r="A9" s="45" t="s">
        <v>302</v>
      </c>
      <c r="B9" s="46" t="str">
        <f>MID(A9,$A$1*0+1,$A$1)</f>
        <v>　この画面の下の方に注目してください。「使用法説明・解説・対象指定データ・Ａ体情</v>
      </c>
      <c r="C9" s="47"/>
      <c r="D9" s="47"/>
      <c r="E9" s="47"/>
      <c r="F9" s="47"/>
      <c r="G9" s="47"/>
      <c r="H9" s="47"/>
      <c r="I9" s="47"/>
    </row>
    <row r="10" spans="1:9" ht="17.25" customHeight="1">
      <c r="A10" s="45"/>
      <c r="B10" s="46" t="str">
        <f>MID(A9,$A$1*1+1,$A$1)</f>
        <v>知・体調相性・情緒相性・知性相性・相手探・皆で相談・お願い・バイオリズム計算」と</v>
      </c>
      <c r="C10" s="47"/>
      <c r="D10" s="47"/>
      <c r="E10" s="47"/>
      <c r="F10" s="47"/>
      <c r="G10" s="47"/>
      <c r="H10" s="47"/>
      <c r="I10" s="47"/>
    </row>
    <row r="11" spans="1:9" ht="17.25" customHeight="1">
      <c r="A11" s="45"/>
      <c r="B11" s="46" t="str">
        <f>MID(A9,$A$1*2+1,$A$1)</f>
        <v>言った見出しが並んでいます。現在の画面は、「使用法説明」の見出しの付いたシートで</v>
      </c>
      <c r="C11" s="47"/>
      <c r="D11" s="47"/>
      <c r="E11" s="47"/>
      <c r="F11" s="47"/>
      <c r="G11" s="47"/>
      <c r="H11" s="47"/>
      <c r="I11" s="47"/>
    </row>
    <row r="12" spans="1:9" ht="17.25" customHeight="1">
      <c r="A12" s="45"/>
      <c r="B12" s="46" t="str">
        <f>MID(A9,$A$1*3+1,$A$1)</f>
        <v>す。他のシートを見るときは、それぞれの見出しをクリックして下さい。</v>
      </c>
      <c r="C12" s="47"/>
      <c r="D12" s="47"/>
      <c r="E12" s="47"/>
      <c r="F12" s="47"/>
      <c r="G12" s="47"/>
      <c r="H12" s="47"/>
      <c r="I12" s="47"/>
    </row>
    <row r="13" spans="1:9" ht="6.75" customHeight="1">
      <c r="A13" s="45"/>
      <c r="B13" s="46"/>
      <c r="C13" s="47"/>
      <c r="D13" s="47"/>
      <c r="E13" s="47"/>
      <c r="F13" s="47"/>
      <c r="G13" s="47"/>
      <c r="H13" s="47"/>
      <c r="I13" s="47"/>
    </row>
    <row r="14" spans="1:9" ht="17.25" customHeight="1">
      <c r="A14" s="45" t="s">
        <v>168</v>
      </c>
      <c r="B14" s="46" t="str">
        <f>MID(A14,$A$1*0+1,$A$1)</f>
        <v>　例えば、「Ａ体情知」の見出しをクリックして、シートを開きますと、入力してある方</v>
      </c>
      <c r="C14" s="47"/>
      <c r="D14" s="47"/>
      <c r="E14" s="47"/>
      <c r="F14" s="47"/>
      <c r="G14" s="47"/>
      <c r="H14" s="47"/>
      <c r="I14" s="47"/>
    </row>
    <row r="15" spans="1:9" ht="17.25" customHeight="1">
      <c r="A15" s="45"/>
      <c r="B15" s="46" t="str">
        <f>MID(A14,$A$1*1+1,$A$1)</f>
        <v>の中から選んだＡさんの今月のバイオリズムのグラフが表示されます。</v>
      </c>
      <c r="C15" s="47"/>
      <c r="D15" s="47"/>
      <c r="E15" s="47"/>
      <c r="F15" s="47"/>
      <c r="G15" s="47"/>
      <c r="H15" s="47"/>
      <c r="I15" s="47"/>
    </row>
    <row r="16" spans="1:9" ht="7.5" customHeight="1">
      <c r="A16" s="45"/>
      <c r="B16" s="46"/>
      <c r="C16" s="47"/>
      <c r="D16" s="47"/>
      <c r="E16" s="47"/>
      <c r="F16" s="47"/>
      <c r="G16" s="47"/>
      <c r="H16" s="47"/>
      <c r="I16" s="47"/>
    </row>
    <row r="17" spans="1:9" ht="17.25" customHeight="1">
      <c r="A17" s="45" t="s">
        <v>303</v>
      </c>
      <c r="B17" s="46" t="str">
        <f>MID($A$17,$A$1*0+1,$A$1)</f>
        <v>　「対象指定データ」の見出しをクリックして、シートを開まきすと、左側で真中より上</v>
      </c>
      <c r="C17" s="47"/>
      <c r="D17" s="47"/>
      <c r="E17" s="47"/>
      <c r="F17" s="47"/>
      <c r="G17" s="47"/>
      <c r="H17" s="47"/>
      <c r="I17" s="47"/>
    </row>
    <row r="18" spans="1:9" ht="17.25" customHeight="1">
      <c r="A18" s="45"/>
      <c r="B18" s="46" t="str">
        <f>MID(A17,$A$1*1+1,$A$1)</f>
        <v>の方に、Ａさん、Ｂさんと表示してあります。そこに調べたい人の氏名を入力してくださ</v>
      </c>
      <c r="C18" s="47"/>
      <c r="D18" s="47"/>
      <c r="E18" s="47"/>
      <c r="F18" s="47"/>
      <c r="G18" s="47"/>
      <c r="H18" s="47"/>
      <c r="I18" s="47"/>
    </row>
    <row r="19" spans="1:9" ht="17.25" customHeight="1">
      <c r="A19" s="45"/>
      <c r="B19" s="46" t="str">
        <f>MID(A17,$A$1*2+1,$A$1)</f>
        <v>い。また、その下の方のデータバンクの欄には、調べたい人の生年月日を、氏名と一緒に</v>
      </c>
      <c r="C19" s="47"/>
      <c r="D19" s="47"/>
      <c r="E19" s="47"/>
      <c r="F19" s="47"/>
      <c r="G19" s="47"/>
      <c r="H19" s="47"/>
      <c r="I19" s="47"/>
    </row>
    <row r="20" spans="1:9" ht="17.25" customHeight="1">
      <c r="A20" s="45"/>
      <c r="B20" s="46" t="str">
        <f>MID(A17,$A$1*3+1,$A$1)</f>
        <v>入力してください。そうしますと、パソコンが他の部分を自動的に計算します。</v>
      </c>
      <c r="C20" s="47"/>
      <c r="D20" s="47"/>
      <c r="E20" s="47"/>
      <c r="F20" s="47"/>
      <c r="G20" s="47"/>
      <c r="H20" s="47"/>
      <c r="I20" s="47"/>
    </row>
    <row r="21" spans="1:9" ht="17.25" customHeight="1">
      <c r="A21" s="45" t="s">
        <v>300</v>
      </c>
      <c r="B21" s="46" t="str">
        <f>MID($A$21,$A$1*0+1,$A$1)</f>
        <v>　「相手探」のシートは、氏名を入力しますと、生年月日を「対象指定データ」の中から</v>
      </c>
      <c r="C21" s="47"/>
      <c r="D21" s="47"/>
      <c r="E21" s="47"/>
      <c r="F21" s="47"/>
      <c r="G21" s="47"/>
      <c r="H21" s="47"/>
      <c r="I21" s="47"/>
    </row>
    <row r="22" spans="1:9" ht="17.25" customHeight="1">
      <c r="A22" s="45"/>
      <c r="B22" s="46" t="str">
        <f>MID($A$21,$A$1*1+1,$A$1)</f>
        <v>自動的に探して表し、青字で表した方との共鳴度を計算して表します。もし分からなけれ</v>
      </c>
      <c r="C22" s="47"/>
      <c r="D22" s="47"/>
      <c r="E22" s="47"/>
      <c r="F22" s="47"/>
      <c r="G22" s="47"/>
      <c r="H22" s="47"/>
      <c r="I22" s="47"/>
    </row>
    <row r="23" spans="1:9" ht="17.25" customHeight="1">
      <c r="A23" s="45"/>
      <c r="B23" s="46" t="str">
        <f>MID($A$21,$A$1*2+1,$A$1)</f>
        <v>ば、エクセルを使っている方にお見せください。エクセルを使っている方であれば、以上</v>
      </c>
      <c r="C23" s="47"/>
      <c r="D23" s="47"/>
      <c r="E23" s="47"/>
      <c r="F23" s="47"/>
      <c r="G23" s="47"/>
      <c r="H23" s="47"/>
      <c r="I23" s="47"/>
    </row>
    <row r="24" spans="1:9" ht="17.25" customHeight="1">
      <c r="A24" s="45"/>
      <c r="B24" s="46" t="str">
        <f>MID($A$21,$A$1*3+1,$A$1)</f>
        <v>の説明でお分かりになるはずです。</v>
      </c>
      <c r="C24" s="47"/>
      <c r="D24" s="47"/>
      <c r="E24" s="47"/>
      <c r="F24" s="47"/>
      <c r="G24" s="47"/>
      <c r="H24" s="47"/>
      <c r="I24" s="47"/>
    </row>
    <row r="25" spans="1:9" ht="17.25" customHeight="1">
      <c r="A25" s="45"/>
      <c r="B25" s="46">
        <f>MID($A$21,$A$1*4+1,$A$1)</f>
      </c>
      <c r="C25" s="47"/>
      <c r="D25" s="47"/>
      <c r="E25" s="47"/>
      <c r="F25" s="47"/>
      <c r="G25" s="47"/>
      <c r="H25" s="47"/>
      <c r="I25" s="47"/>
    </row>
    <row r="26" spans="1:9" ht="17.25">
      <c r="A26" s="45"/>
      <c r="B26" s="48"/>
      <c r="C26" s="51"/>
      <c r="D26" s="47"/>
      <c r="E26" s="47"/>
      <c r="F26" s="47"/>
      <c r="G26" s="47"/>
      <c r="H26" s="47"/>
      <c r="I26" s="47"/>
    </row>
  </sheetData>
  <sheetProtection/>
  <mergeCells count="1">
    <mergeCell ref="B1:C1"/>
  </mergeCells>
  <hyperlinks>
    <hyperlink ref="D7" r:id="rId1" display="http://www.amazon.co.jp/exec/obidos/ASIN/4061178067/"/>
  </hyperlinks>
  <printOptions/>
  <pageMargins left="0.787" right="0.4" top="0.82" bottom="0.984" header="0.512" footer="0.512"/>
  <pageSetup orientation="portrait" paperSize="9" r:id="rId2"/>
</worksheet>
</file>

<file path=xl/worksheets/sheet2.xml><?xml version="1.0" encoding="utf-8"?>
<worksheet xmlns="http://schemas.openxmlformats.org/spreadsheetml/2006/main" xmlns:r="http://schemas.openxmlformats.org/officeDocument/2006/relationships">
  <dimension ref="A1:M74"/>
  <sheetViews>
    <sheetView view="pageBreakPreview" zoomScaleSheetLayoutView="100" zoomScalePageLayoutView="0" workbookViewId="0" topLeftCell="A24">
      <selection activeCell="C29" sqref="C29"/>
    </sheetView>
  </sheetViews>
  <sheetFormatPr defaultColWidth="8.66015625" defaultRowHeight="18"/>
  <cols>
    <col min="1" max="1" width="3" style="0" customWidth="1"/>
    <col min="2" max="2" width="5.41015625" style="0" customWidth="1"/>
    <col min="3" max="5" width="16.08203125" style="0" customWidth="1"/>
    <col min="6" max="6" width="30.16015625" style="0" customWidth="1"/>
    <col min="10" max="13" width="15.08203125" style="0" customWidth="1"/>
  </cols>
  <sheetData>
    <row r="1" spans="1:8" ht="18" thickBot="1">
      <c r="A1" s="29" t="s">
        <v>25</v>
      </c>
      <c r="H1" t="s">
        <v>222</v>
      </c>
    </row>
    <row r="2" spans="1:13" ht="21" customHeight="1">
      <c r="A2" s="29"/>
      <c r="B2" s="36" t="s">
        <v>66</v>
      </c>
      <c r="H2" s="107" t="s">
        <v>27</v>
      </c>
      <c r="I2" s="108"/>
      <c r="J2" s="27" t="s">
        <v>28</v>
      </c>
      <c r="K2" s="27" t="s">
        <v>29</v>
      </c>
      <c r="L2" s="27" t="s">
        <v>30</v>
      </c>
      <c r="M2" s="28" t="s">
        <v>31</v>
      </c>
    </row>
    <row r="3" spans="2:13" ht="39" customHeight="1" thickBot="1">
      <c r="B3" s="109" t="str">
        <f>B$74&amp;"知性のバイオリズムです。"</f>
        <v>産まれた時をゼロとします。山を越えてゼロに戻り、谷を越えてゼロに戻ります。これが一つの周期になります。この繰り返しが知性のバイオリズムです。</v>
      </c>
      <c r="C3" s="109"/>
      <c r="D3" s="109"/>
      <c r="E3" s="109"/>
      <c r="F3" s="109"/>
      <c r="H3" s="78">
        <v>0</v>
      </c>
      <c r="I3" s="79" t="s">
        <v>223</v>
      </c>
      <c r="J3" s="23" t="s">
        <v>224</v>
      </c>
      <c r="K3" s="23" t="s">
        <v>36</v>
      </c>
      <c r="L3" s="23" t="s">
        <v>37</v>
      </c>
      <c r="M3" s="24" t="s">
        <v>225</v>
      </c>
    </row>
    <row r="4" spans="2:13" ht="71.25" customHeight="1" thickBot="1">
      <c r="B4" s="110" t="s">
        <v>226</v>
      </c>
      <c r="C4" s="111"/>
      <c r="D4" s="111"/>
      <c r="E4" s="111"/>
      <c r="F4" s="112"/>
      <c r="H4" s="78">
        <v>20.01</v>
      </c>
      <c r="I4" s="79" t="s">
        <v>227</v>
      </c>
      <c r="J4" s="23" t="s">
        <v>228</v>
      </c>
      <c r="K4" s="23" t="s">
        <v>36</v>
      </c>
      <c r="L4" s="23" t="s">
        <v>229</v>
      </c>
      <c r="M4" s="24" t="s">
        <v>230</v>
      </c>
    </row>
    <row r="5" spans="1:13" ht="24" customHeight="1">
      <c r="A5" s="80" t="s">
        <v>26</v>
      </c>
      <c r="H5" s="78">
        <v>40.01</v>
      </c>
      <c r="I5" s="79" t="s">
        <v>231</v>
      </c>
      <c r="J5" s="23" t="s">
        <v>232</v>
      </c>
      <c r="K5" s="23" t="s">
        <v>34</v>
      </c>
      <c r="L5" s="23" t="s">
        <v>35</v>
      </c>
      <c r="M5" s="24" t="s">
        <v>233</v>
      </c>
    </row>
    <row r="6" spans="1:13" ht="24" customHeight="1" thickBot="1">
      <c r="A6" s="29"/>
      <c r="B6" s="37" t="str">
        <f>'対象指定ﾃﾞｰﾀ'!B$4&amp;"様と"&amp;'対象指定ﾃﾞｰﾀ'!B$5&amp;"様、お二人の知性の共鳴度は、"&amp;ROUND('ﾊﾞｲｵﾘｽﾞﾑ計算'!G43,0)&amp;"％です。"&amp;'ﾊﾞｲｵﾘｽﾞﾑ計算'!A46</f>
        <v>ﾊﾞﾗｸ･ｵﾊﾞﾏ様とﾐｯｼｪﾙ･ｵﾊﾞﾏ様、お二人の知性の共鳴度は、70％です。</v>
      </c>
      <c r="H6" s="78">
        <v>60.01</v>
      </c>
      <c r="I6" s="79" t="s">
        <v>234</v>
      </c>
      <c r="J6" s="23" t="s">
        <v>235</v>
      </c>
      <c r="K6" s="23" t="s">
        <v>236</v>
      </c>
      <c r="L6" s="23" t="s">
        <v>237</v>
      </c>
      <c r="M6" s="24" t="s">
        <v>238</v>
      </c>
    </row>
    <row r="7" spans="2:13" ht="21" customHeight="1" thickBot="1">
      <c r="B7" s="81" t="s">
        <v>27</v>
      </c>
      <c r="C7" s="27" t="s">
        <v>28</v>
      </c>
      <c r="D7" s="27" t="s">
        <v>29</v>
      </c>
      <c r="E7" s="27" t="s">
        <v>30</v>
      </c>
      <c r="F7" s="28" t="s">
        <v>31</v>
      </c>
      <c r="H7" s="82">
        <v>80.01</v>
      </c>
      <c r="I7" s="83" t="s">
        <v>239</v>
      </c>
      <c r="J7" s="25" t="s">
        <v>240</v>
      </c>
      <c r="K7" s="25" t="s">
        <v>32</v>
      </c>
      <c r="L7" s="25" t="s">
        <v>33</v>
      </c>
      <c r="M7" s="26" t="s">
        <v>64</v>
      </c>
    </row>
    <row r="8" spans="2:6" ht="114" customHeight="1" thickBot="1">
      <c r="B8" s="84" t="str">
        <f>VLOOKUP('ﾊﾞｲｵﾘｽﾞﾑ計算'!$G$43,H3:M7,2)</f>
        <v>60超～80％</v>
      </c>
      <c r="C8" s="85" t="str">
        <f>VLOOKUP('ﾊﾞｲｵﾘｽﾞﾑ計算'!$G$43,H3:M7,3)</f>
        <v>１ヶ月のうち１１日程度、二人揃って知性が高揚し、テンポの良い会話で、相互理解が進む。</v>
      </c>
      <c r="D8" s="85" t="str">
        <f>VLOOKUP('ﾊﾞｲｵﾘｽﾞﾑ計算'!$G$43,H3:M7,4)</f>
        <v>会話のテンポが合うときが多いので、会話が合いやすい。</v>
      </c>
      <c r="E8" s="85" t="str">
        <f>VLOOKUP('ﾊﾞｲｵﾘｽﾞﾑ計算'!$G$43,H3:M7,5)</f>
        <v>１ヶ月に２回、５日間ほど、会話のテンポが合いにくい期間がある。</v>
      </c>
      <c r="F8" s="86" t="str">
        <f>VLOOKUP('ﾊﾞｲｵﾘｽﾞﾑ計算'!$G$43,H3:M7,6)</f>
        <v>左のように、会話のテンポが合わない時もある事をわきまえておき、そのときは、図解やメモ、身振り、手振り交えて意思疎通の為の努力をする。</v>
      </c>
    </row>
    <row r="9" spans="4:6" ht="25.5" customHeight="1">
      <c r="D9" s="87" t="s">
        <v>241</v>
      </c>
      <c r="E9" s="88" t="s">
        <v>242</v>
      </c>
      <c r="F9" s="50" t="s">
        <v>243</v>
      </c>
    </row>
    <row r="10" spans="1:8" ht="25.5" customHeight="1" thickBot="1">
      <c r="A10" s="29" t="s">
        <v>38</v>
      </c>
      <c r="F10" s="43"/>
      <c r="H10" t="s">
        <v>244</v>
      </c>
    </row>
    <row r="11" spans="2:13" ht="21" customHeight="1">
      <c r="B11" s="36" t="s">
        <v>67</v>
      </c>
      <c r="H11" s="107" t="s">
        <v>27</v>
      </c>
      <c r="I11" s="108"/>
      <c r="J11" s="27" t="s">
        <v>28</v>
      </c>
      <c r="K11" s="27" t="s">
        <v>29</v>
      </c>
      <c r="L11" s="27" t="s">
        <v>30</v>
      </c>
      <c r="M11" s="28" t="s">
        <v>31</v>
      </c>
    </row>
    <row r="12" spans="2:13" ht="39" customHeight="1" thickBot="1">
      <c r="B12" s="109" t="str">
        <f>B$74&amp;"情緒のバイオリズムです。"</f>
        <v>産まれた時をゼロとします。山を越えてゼロに戻り、谷を越えてゼロに戻ります。これが一つの周期になります。この繰り返しが情緒のバイオリズムです。</v>
      </c>
      <c r="C12" s="109"/>
      <c r="D12" s="109"/>
      <c r="E12" s="109"/>
      <c r="F12" s="109"/>
      <c r="H12" s="78">
        <v>0</v>
      </c>
      <c r="I12" s="79" t="s">
        <v>223</v>
      </c>
      <c r="J12" s="23" t="s">
        <v>47</v>
      </c>
      <c r="K12" s="23" t="s">
        <v>48</v>
      </c>
      <c r="L12" s="23" t="s">
        <v>49</v>
      </c>
      <c r="M12" s="24" t="s">
        <v>245</v>
      </c>
    </row>
    <row r="13" spans="2:13" ht="51" customHeight="1" thickBot="1">
      <c r="B13" s="110" t="s">
        <v>39</v>
      </c>
      <c r="C13" s="111"/>
      <c r="D13" s="111"/>
      <c r="E13" s="111"/>
      <c r="F13" s="112"/>
      <c r="H13" s="78">
        <v>20.01</v>
      </c>
      <c r="I13" s="79" t="s">
        <v>227</v>
      </c>
      <c r="J13" s="23" t="s">
        <v>246</v>
      </c>
      <c r="K13" s="23" t="s">
        <v>247</v>
      </c>
      <c r="L13" s="23" t="s">
        <v>248</v>
      </c>
      <c r="M13" s="24" t="s">
        <v>249</v>
      </c>
    </row>
    <row r="14" spans="1:13" ht="24" customHeight="1">
      <c r="A14" s="80" t="s">
        <v>40</v>
      </c>
      <c r="H14" s="78">
        <v>40.01</v>
      </c>
      <c r="I14" s="79" t="s">
        <v>231</v>
      </c>
      <c r="J14" s="23" t="s">
        <v>44</v>
      </c>
      <c r="K14" s="23" t="s">
        <v>45</v>
      </c>
      <c r="L14" s="23" t="s">
        <v>46</v>
      </c>
      <c r="M14" s="24" t="s">
        <v>250</v>
      </c>
    </row>
    <row r="15" spans="1:13" ht="24" customHeight="1" thickBot="1">
      <c r="A15" s="29"/>
      <c r="B15" s="37" t="str">
        <f>'対象指定ﾃﾞｰﾀ'!B$4&amp;"様と"&amp;'対象指定ﾃﾞｰﾀ'!B$5&amp;"様、お二人の情緒の共鳴度は、"&amp;ROUND('ﾊﾞｲｵﾘｽﾞﾑ計算'!F43,0)&amp;"％です。"&amp;'ﾊﾞｲｵﾘｽﾞﾑ計算'!A45</f>
        <v>ﾊﾞﾗｸ･ｵﾊﾞﾏ様とﾐｯｼｪﾙ･ｵﾊﾞﾏ様、お二人の情緒の共鳴度は、100％です。</v>
      </c>
      <c r="H15" s="78">
        <v>60.01</v>
      </c>
      <c r="I15" s="79" t="s">
        <v>234</v>
      </c>
      <c r="J15" s="23" t="s">
        <v>251</v>
      </c>
      <c r="K15" s="23" t="s">
        <v>252</v>
      </c>
      <c r="L15" s="23" t="s">
        <v>253</v>
      </c>
      <c r="M15" s="24" t="s">
        <v>254</v>
      </c>
    </row>
    <row r="16" spans="2:13" ht="21" customHeight="1" thickBot="1">
      <c r="B16" s="81" t="s">
        <v>27</v>
      </c>
      <c r="C16" s="27" t="s">
        <v>28</v>
      </c>
      <c r="D16" s="27" t="s">
        <v>29</v>
      </c>
      <c r="E16" s="27" t="s">
        <v>30</v>
      </c>
      <c r="F16" s="28" t="s">
        <v>31</v>
      </c>
      <c r="H16" s="82">
        <v>80.01</v>
      </c>
      <c r="I16" s="83" t="s">
        <v>239</v>
      </c>
      <c r="J16" s="25" t="s">
        <v>41</v>
      </c>
      <c r="K16" s="25" t="s">
        <v>42</v>
      </c>
      <c r="L16" s="25" t="s">
        <v>43</v>
      </c>
      <c r="M16" s="26" t="s">
        <v>63</v>
      </c>
    </row>
    <row r="17" spans="2:6" ht="114" customHeight="1" thickBot="1">
      <c r="B17" s="84" t="str">
        <f>VLOOKUP('ﾊﾞｲｵﾘｽﾞﾑ計算'!F43,H12:M16,2)</f>
        <v>80％超</v>
      </c>
      <c r="C17" s="85" t="str">
        <f>VLOOKUP('ﾊﾞｲｵﾘｽﾞﾑ計算'!$F$43,H12:M16,3)</f>
        <v>何となく、相手の気分と一体化しやすい。</v>
      </c>
      <c r="D17" s="85" t="str">
        <f>VLOOKUP('ﾊﾞｲｵﾘｽﾞﾑ計算'!$F$43,H12:M16,4)</f>
        <v>気分が一緒に盛り上がったり、一緒に落着きを味わったりしやすい。</v>
      </c>
      <c r="E17" s="85" t="str">
        <f>VLOOKUP('ﾊﾞｲｵﾘｽﾞﾑ計算'!$F$43,H12:M16,5)</f>
        <v>対立する事について、互いに強気に出て、時々正面からぶつかり合う。</v>
      </c>
      <c r="F17" s="86" t="str">
        <f>VLOOKUP('ﾊﾞｲｵﾘｽﾞﾑ計算'!$F$43,H12:M16,6)</f>
        <v>互いに突っ張っり合うと、対立が尾を引くかもしれない。気分を害した事への詫びや言い訳だけでも、早めに伝えた方が良い。対立が長引いた時の仲介者を確保しておくと良いでしょう。</v>
      </c>
    </row>
    <row r="18" ht="25.5" customHeight="1"/>
    <row r="19" spans="1:8" ht="25.5" customHeight="1" thickBot="1">
      <c r="A19" s="29" t="s">
        <v>50</v>
      </c>
      <c r="H19" t="s">
        <v>255</v>
      </c>
    </row>
    <row r="20" spans="2:13" ht="21" customHeight="1">
      <c r="B20" s="36" t="s">
        <v>68</v>
      </c>
      <c r="H20" s="107" t="s">
        <v>27</v>
      </c>
      <c r="I20" s="108"/>
      <c r="J20" s="27" t="s">
        <v>28</v>
      </c>
      <c r="K20" s="27" t="s">
        <v>29</v>
      </c>
      <c r="L20" s="27" t="s">
        <v>30</v>
      </c>
      <c r="M20" s="28" t="s">
        <v>31</v>
      </c>
    </row>
    <row r="21" spans="2:13" ht="39" customHeight="1" thickBot="1">
      <c r="B21" s="109" t="str">
        <f>B$74&amp;"体調のバイオリズムです。"</f>
        <v>産まれた時をゼロとします。山を越えてゼロに戻り、谷を越えてゼロに戻ります。これが一つの周期になります。この繰り返しが体調のバイオリズムです。</v>
      </c>
      <c r="C21" s="109"/>
      <c r="D21" s="109"/>
      <c r="E21" s="109"/>
      <c r="F21" s="109"/>
      <c r="H21" s="78">
        <v>0</v>
      </c>
      <c r="I21" s="79" t="s">
        <v>223</v>
      </c>
      <c r="J21" s="23" t="s">
        <v>256</v>
      </c>
      <c r="K21" s="23" t="s">
        <v>55</v>
      </c>
      <c r="L21" s="23" t="s">
        <v>257</v>
      </c>
      <c r="M21" s="24" t="s">
        <v>258</v>
      </c>
    </row>
    <row r="22" spans="2:13" ht="45" customHeight="1" thickBot="1">
      <c r="B22" s="110" t="s">
        <v>51</v>
      </c>
      <c r="C22" s="111"/>
      <c r="D22" s="111"/>
      <c r="E22" s="111"/>
      <c r="F22" s="112"/>
      <c r="H22" s="78">
        <v>20.01</v>
      </c>
      <c r="I22" s="79" t="s">
        <v>227</v>
      </c>
      <c r="J22" s="23" t="s">
        <v>259</v>
      </c>
      <c r="K22" s="23" t="s">
        <v>260</v>
      </c>
      <c r="L22" s="23" t="s">
        <v>261</v>
      </c>
      <c r="M22" s="24" t="s">
        <v>262</v>
      </c>
    </row>
    <row r="23" spans="1:13" ht="24" customHeight="1">
      <c r="A23" s="80" t="s">
        <v>52</v>
      </c>
      <c r="H23" s="78">
        <v>40.01</v>
      </c>
      <c r="I23" s="79" t="s">
        <v>231</v>
      </c>
      <c r="J23" s="23" t="s">
        <v>263</v>
      </c>
      <c r="K23" s="23" t="s">
        <v>264</v>
      </c>
      <c r="L23" s="23" t="s">
        <v>265</v>
      </c>
      <c r="M23" s="24" t="s">
        <v>266</v>
      </c>
    </row>
    <row r="24" spans="1:13" ht="24" customHeight="1" thickBot="1">
      <c r="A24" s="29"/>
      <c r="B24" s="37" t="str">
        <f>'対象指定ﾃﾞｰﾀ'!B$4&amp;"様と"&amp;'対象指定ﾃﾞｰﾀ'!B$5&amp;"様、お二人の体調の共鳴度は、"&amp;ROUND('ﾊﾞｲｵﾘｽﾞﾑ計算'!E43,0)&amp;"％です。"&amp;'ﾊﾞｲｵﾘｽﾞﾑ計算'!A44</f>
        <v>ﾊﾞﾗｸ･ｵﾊﾞﾏ様とﾐｯｼｪﾙ･ｵﾊﾞﾏ様、お二人の体調の共鳴度は、91％です。</v>
      </c>
      <c r="H24" s="78">
        <v>60.01</v>
      </c>
      <c r="I24" s="79" t="s">
        <v>234</v>
      </c>
      <c r="J24" s="23" t="s">
        <v>267</v>
      </c>
      <c r="K24" s="23" t="s">
        <v>268</v>
      </c>
      <c r="L24" s="23" t="s">
        <v>269</v>
      </c>
      <c r="M24" s="24" t="s">
        <v>270</v>
      </c>
    </row>
    <row r="25" spans="2:13" ht="21" customHeight="1" thickBot="1">
      <c r="B25" s="81" t="s">
        <v>27</v>
      </c>
      <c r="C25" s="27" t="s">
        <v>28</v>
      </c>
      <c r="D25" s="27" t="s">
        <v>29</v>
      </c>
      <c r="E25" s="27" t="s">
        <v>30</v>
      </c>
      <c r="F25" s="28" t="s">
        <v>31</v>
      </c>
      <c r="H25" s="82">
        <v>80.01</v>
      </c>
      <c r="I25" s="83" t="s">
        <v>239</v>
      </c>
      <c r="J25" s="25" t="s">
        <v>53</v>
      </c>
      <c r="K25" s="25" t="s">
        <v>271</v>
      </c>
      <c r="L25" s="25" t="s">
        <v>54</v>
      </c>
      <c r="M25" s="26" t="s">
        <v>272</v>
      </c>
    </row>
    <row r="26" spans="2:6" ht="114" customHeight="1" thickBot="1">
      <c r="B26" s="84" t="str">
        <f>VLOOKUP('ﾊﾞｲｵﾘｽﾞﾑ計算'!E43,H21:M25,2)</f>
        <v>80％超</v>
      </c>
      <c r="C26" s="85" t="str">
        <f>VLOOKUP('ﾊﾞｲｵﾘｽﾞﾑ計算'!$E$43,H21:M25,3)</f>
        <v>本能的な呼吸が何となく合う。</v>
      </c>
      <c r="D26" s="85" t="str">
        <f>VLOOKUP('ﾊﾞｲｵﾘｽﾞﾑ計算'!$E$43,H21:M25,4)</f>
        <v>互いの頑張りが重なり、体力仕事で息が合いやすい。　異性の間であれば、互いの性的高まりを共有しやすい。　</v>
      </c>
      <c r="E26" s="85" t="str">
        <f>VLOOKUP('ﾊﾞｲｵﾘｽﾞﾑ計算'!$E$43,H21:M25,5)</f>
        <v>二人で一緒に風邪を引いたり、体調を崩したりする。</v>
      </c>
      <c r="F26" s="86" t="str">
        <f>VLOOKUP('ﾊﾞｲｵﾘｽﾞﾑ計算'!$E$43,H21:M25,6)</f>
        <v>体調の崩れる時期は、互いに頑張り過ぎないよう気を付け合いましょう。</v>
      </c>
    </row>
    <row r="27" ht="9" customHeight="1"/>
    <row r="28" ht="23.25" customHeight="1"/>
    <row r="29" ht="23.25" customHeight="1">
      <c r="C29" s="89" t="s">
        <v>273</v>
      </c>
    </row>
    <row r="30" ht="23.25" customHeight="1">
      <c r="B30" s="36" t="s">
        <v>81</v>
      </c>
    </row>
    <row r="31" ht="23.25" customHeight="1">
      <c r="B31" s="36" t="s">
        <v>274</v>
      </c>
    </row>
    <row r="32" ht="23.25" customHeight="1">
      <c r="B32" s="36" t="s">
        <v>82</v>
      </c>
    </row>
    <row r="33" ht="23.25" customHeight="1">
      <c r="B33" s="36" t="s">
        <v>73</v>
      </c>
    </row>
    <row r="34" ht="23.25" customHeight="1">
      <c r="B34" s="36"/>
    </row>
    <row r="35" ht="23.25" customHeight="1">
      <c r="B35" s="36" t="s">
        <v>77</v>
      </c>
    </row>
    <row r="36" ht="23.25" customHeight="1">
      <c r="B36" s="36" t="s">
        <v>78</v>
      </c>
    </row>
    <row r="37" ht="23.25" customHeight="1">
      <c r="B37" s="36" t="s">
        <v>74</v>
      </c>
    </row>
    <row r="38" ht="23.25" customHeight="1">
      <c r="B38" s="36"/>
    </row>
    <row r="39" ht="23.25" customHeight="1">
      <c r="B39" s="36" t="s">
        <v>275</v>
      </c>
    </row>
    <row r="40" ht="23.25" customHeight="1">
      <c r="B40" s="36" t="s">
        <v>75</v>
      </c>
    </row>
    <row r="41" ht="23.25" customHeight="1">
      <c r="B41" s="36" t="s">
        <v>79</v>
      </c>
    </row>
    <row r="42" ht="23.25" customHeight="1">
      <c r="B42" s="36" t="s">
        <v>276</v>
      </c>
    </row>
    <row r="43" ht="23.25" customHeight="1">
      <c r="B43" s="36" t="s">
        <v>83</v>
      </c>
    </row>
    <row r="44" ht="23.25" customHeight="1">
      <c r="B44" s="36" t="s">
        <v>76</v>
      </c>
    </row>
    <row r="45" ht="23.25" customHeight="1">
      <c r="B45" s="36" t="s">
        <v>80</v>
      </c>
    </row>
    <row r="46" ht="23.25" customHeight="1">
      <c r="B46" s="36" t="s">
        <v>288</v>
      </c>
    </row>
    <row r="47" ht="23.25" customHeight="1">
      <c r="B47" s="36" t="s">
        <v>277</v>
      </c>
    </row>
    <row r="48" ht="23.25" customHeight="1">
      <c r="B48" s="36" t="s">
        <v>278</v>
      </c>
    </row>
    <row r="49" ht="23.25" customHeight="1">
      <c r="B49" s="36"/>
    </row>
    <row r="50" ht="23.25" customHeight="1">
      <c r="B50" s="36" t="s">
        <v>107</v>
      </c>
    </row>
    <row r="51" ht="23.25" customHeight="1">
      <c r="B51" s="36" t="s">
        <v>164</v>
      </c>
    </row>
    <row r="52" ht="23.25" customHeight="1">
      <c r="B52" s="36" t="s">
        <v>108</v>
      </c>
    </row>
    <row r="53" ht="23.25" customHeight="1">
      <c r="B53" s="36" t="s">
        <v>312</v>
      </c>
    </row>
    <row r="54" ht="23.25" customHeight="1">
      <c r="B54" s="101" t="s">
        <v>313</v>
      </c>
    </row>
    <row r="55" ht="23.25" customHeight="1">
      <c r="B55" s="36" t="s">
        <v>109</v>
      </c>
    </row>
    <row r="56" ht="23.25" customHeight="1">
      <c r="B56" s="36" t="s">
        <v>110</v>
      </c>
    </row>
    <row r="57" ht="23.25" customHeight="1">
      <c r="B57" s="90" t="s">
        <v>111</v>
      </c>
    </row>
    <row r="58" ht="23.25" customHeight="1">
      <c r="B58" s="90" t="s">
        <v>215</v>
      </c>
    </row>
    <row r="59" ht="23.25" customHeight="1">
      <c r="B59" s="43" t="s">
        <v>285</v>
      </c>
    </row>
    <row r="60" ht="23.25" customHeight="1">
      <c r="B60" s="43" t="s">
        <v>286</v>
      </c>
    </row>
    <row r="61" ht="23.25" customHeight="1">
      <c r="B61" s="36" t="s">
        <v>212</v>
      </c>
    </row>
    <row r="62" ht="23.25" customHeight="1">
      <c r="B62" s="36" t="s">
        <v>279</v>
      </c>
    </row>
    <row r="63" ht="23.25" customHeight="1">
      <c r="B63" s="36" t="s">
        <v>280</v>
      </c>
    </row>
    <row r="64" ht="23.25" customHeight="1">
      <c r="B64" s="90" t="s">
        <v>281</v>
      </c>
    </row>
    <row r="65" ht="23.25" customHeight="1"/>
    <row r="66" ht="23.25" customHeight="1">
      <c r="B66" s="101" t="s">
        <v>311</v>
      </c>
    </row>
    <row r="67" ht="23.25" customHeight="1">
      <c r="B67" s="90" t="s">
        <v>310</v>
      </c>
    </row>
    <row r="68" ht="23.25" customHeight="1"/>
    <row r="69" ht="23.25" customHeight="1">
      <c r="B69" s="36" t="s">
        <v>465</v>
      </c>
    </row>
    <row r="70" ht="23.25" customHeight="1">
      <c r="B70" s="36" t="s">
        <v>466</v>
      </c>
    </row>
    <row r="71" spans="3:6" ht="23.25" customHeight="1">
      <c r="C71" s="115" t="s">
        <v>463</v>
      </c>
      <c r="D71" s="116" t="s">
        <v>464</v>
      </c>
      <c r="E71" s="36"/>
      <c r="F71" s="36"/>
    </row>
    <row r="72" ht="17.25">
      <c r="B72" s="100"/>
    </row>
    <row r="73" ht="17.25">
      <c r="B73" s="100"/>
    </row>
    <row r="74" ht="17.25">
      <c r="B74" s="38" t="s">
        <v>69</v>
      </c>
    </row>
  </sheetData>
  <sheetProtection/>
  <mergeCells count="9">
    <mergeCell ref="H20:I20"/>
    <mergeCell ref="B21:F21"/>
    <mergeCell ref="B22:F22"/>
    <mergeCell ref="H2:I2"/>
    <mergeCell ref="H11:I11"/>
    <mergeCell ref="B12:F12"/>
    <mergeCell ref="B13:F13"/>
    <mergeCell ref="B4:F4"/>
    <mergeCell ref="B3:F3"/>
  </mergeCells>
  <hyperlinks>
    <hyperlink ref="B57" r:id="rId1" display="http://www.enneagram.gr.jp/"/>
    <hyperlink ref="B58" r:id="rId2" display="http://www.enneagram.gr.jp/check/index.html"/>
    <hyperlink ref="B64" r:id="rId3" display="https://www.psygram.jp/introduction/download/win.php"/>
    <hyperlink ref="F9" r:id="rId4" display="http://www.hisatune.net/html/02-kenkyuu/tyosaku/ichiran.htm"/>
    <hyperlink ref="E9" r:id="rId5" display="http://www.mindmap.ne.jp/"/>
    <hyperlink ref="B59" r:id="rId6" display="http://www.office-rose.com/enneagram/sitemap.html"/>
    <hyperlink ref="B60" r:id="rId7" display="http://www.h2.dion.ne.jp/~knada/"/>
    <hyperlink ref="B67" r:id="rId8" display="http://www.amazon.co.jp/exec/obidos/ASIN/4492556192"/>
    <hyperlink ref="D71" r:id="rId9" display="http://www.taiwa.org/kiso.html"/>
  </hyperlinks>
  <printOptions/>
  <pageMargins left="0.787" right="0.33" top="0.72" bottom="0.63" header="0.39" footer="0.32"/>
  <pageSetup horizontalDpi="300" verticalDpi="300" orientation="portrait" paperSize="9" scale="81" r:id="rId10"/>
  <rowBreaks count="1" manualBreakCount="1">
    <brk id="27" max="5" man="1"/>
  </rowBreaks>
</worksheet>
</file>

<file path=xl/worksheets/sheet3.xml><?xml version="1.0" encoding="utf-8"?>
<worksheet xmlns="http://schemas.openxmlformats.org/spreadsheetml/2006/main" xmlns:r="http://schemas.openxmlformats.org/officeDocument/2006/relationships">
  <sheetPr transitionEvaluation="1"/>
  <dimension ref="A1:M213"/>
  <sheetViews>
    <sheetView showGridLines="0" zoomScalePageLayoutView="0" workbookViewId="0" topLeftCell="A1">
      <selection activeCell="B4" sqref="B4"/>
    </sheetView>
  </sheetViews>
  <sheetFormatPr defaultColWidth="10.66015625" defaultRowHeight="18"/>
  <cols>
    <col min="1" max="1" width="13.5" style="0" customWidth="1"/>
    <col min="2" max="2" width="11.66015625" style="0" customWidth="1"/>
    <col min="3" max="3" width="4.66015625" style="0" customWidth="1"/>
    <col min="4" max="5" width="3.66015625" style="0" customWidth="1"/>
    <col min="6" max="6" width="11.5" style="0" bestFit="1" customWidth="1"/>
    <col min="7" max="11" width="5.66015625" style="0" customWidth="1"/>
    <col min="12" max="12" width="20.66015625" style="0" customWidth="1"/>
    <col min="13" max="13" width="8.66015625" style="0" customWidth="1"/>
  </cols>
  <sheetData>
    <row r="1" spans="1:4" ht="17.25">
      <c r="A1" s="18" t="s">
        <v>0</v>
      </c>
      <c r="C1" s="19">
        <f ca="1">YEAR(NOW())</f>
        <v>2014</v>
      </c>
      <c r="D1" s="20" t="s">
        <v>1</v>
      </c>
    </row>
    <row r="2" spans="1:6" ht="17.25">
      <c r="A2" s="18"/>
      <c r="C2" s="21">
        <f ca="1">MONTH(NOW())</f>
        <v>4</v>
      </c>
      <c r="D2" s="20" t="s">
        <v>2</v>
      </c>
      <c r="F2" s="96" t="s">
        <v>3</v>
      </c>
    </row>
    <row r="3" spans="1:6" ht="17.25">
      <c r="A3" s="18" t="s">
        <v>4</v>
      </c>
      <c r="B3" s="32" t="s">
        <v>6</v>
      </c>
      <c r="C3" s="32" t="s">
        <v>1</v>
      </c>
      <c r="D3" s="32" t="s">
        <v>2</v>
      </c>
      <c r="E3" s="32" t="s">
        <v>5</v>
      </c>
      <c r="F3" s="22" t="s">
        <v>7</v>
      </c>
    </row>
    <row r="4" spans="1:13" ht="17.25">
      <c r="A4" s="17" t="s">
        <v>8</v>
      </c>
      <c r="B4" s="41" t="s">
        <v>314</v>
      </c>
      <c r="C4" s="97">
        <f aca="true" t="shared" si="0" ref="C4:C11">VLOOKUP($B4,$B$12:$E$213,2,FALSE)</f>
        <v>1961</v>
      </c>
      <c r="D4" s="97">
        <f aca="true" t="shared" si="1" ref="D4:D11">VLOOKUP($B4,$B$12:$E$213,3,FALSE)</f>
        <v>8</v>
      </c>
      <c r="E4" s="97">
        <f aca="true" t="shared" si="2" ref="E4:E11">VLOOKUP($B4,$B$12:$E$213,4,FALSE)</f>
        <v>4</v>
      </c>
      <c r="F4" s="22" t="s">
        <v>166</v>
      </c>
      <c r="M4" s="5"/>
    </row>
    <row r="5" spans="1:13" ht="17.25">
      <c r="A5" s="18" t="s">
        <v>9</v>
      </c>
      <c r="B5" s="41" t="s">
        <v>315</v>
      </c>
      <c r="C5" s="97">
        <f t="shared" si="0"/>
        <v>1964</v>
      </c>
      <c r="D5" s="97">
        <f t="shared" si="1"/>
        <v>1</v>
      </c>
      <c r="E5" s="97">
        <f t="shared" si="2"/>
        <v>17</v>
      </c>
      <c r="F5" s="30" t="s">
        <v>301</v>
      </c>
      <c r="G5" s="6"/>
      <c r="M5" s="5"/>
    </row>
    <row r="6" spans="1:13" ht="17.25">
      <c r="A6" s="18" t="s">
        <v>10</v>
      </c>
      <c r="B6" s="41" t="s">
        <v>329</v>
      </c>
      <c r="C6" s="97">
        <f t="shared" si="0"/>
        <v>1954</v>
      </c>
      <c r="D6" s="97">
        <f t="shared" si="1"/>
        <v>9</v>
      </c>
      <c r="E6" s="97">
        <f t="shared" si="2"/>
        <v>21</v>
      </c>
      <c r="F6" s="22" t="s">
        <v>309</v>
      </c>
      <c r="G6" s="7"/>
      <c r="H6" s="5"/>
      <c r="I6" s="5"/>
      <c r="M6" s="3"/>
    </row>
    <row r="7" spans="1:13" ht="17.25">
      <c r="A7" s="18" t="s">
        <v>112</v>
      </c>
      <c r="B7" s="41" t="s">
        <v>434</v>
      </c>
      <c r="C7" s="97">
        <f t="shared" si="0"/>
        <v>1940</v>
      </c>
      <c r="D7" s="97">
        <f t="shared" si="1"/>
        <v>9</v>
      </c>
      <c r="E7" s="97">
        <f t="shared" si="2"/>
        <v>20</v>
      </c>
      <c r="F7" s="7" t="s">
        <v>11</v>
      </c>
      <c r="G7" s="7"/>
      <c r="H7" s="5"/>
      <c r="I7" s="5"/>
      <c r="M7" s="3"/>
    </row>
    <row r="8" spans="1:13" ht="17.25">
      <c r="A8" s="18" t="s">
        <v>13</v>
      </c>
      <c r="B8" s="41" t="s">
        <v>462</v>
      </c>
      <c r="C8" s="97">
        <f t="shared" si="0"/>
        <v>1948</v>
      </c>
      <c r="D8" s="97">
        <f t="shared" si="1"/>
        <v>12</v>
      </c>
      <c r="E8" s="97">
        <f t="shared" si="2"/>
        <v>6</v>
      </c>
      <c r="F8" s="7"/>
      <c r="G8" s="7"/>
      <c r="H8" s="5"/>
      <c r="I8" s="5"/>
      <c r="M8" s="3"/>
    </row>
    <row r="9" spans="1:13" ht="17.25">
      <c r="A9" s="18" t="s">
        <v>113</v>
      </c>
      <c r="B9" s="41" t="s">
        <v>446</v>
      </c>
      <c r="C9" s="97">
        <f t="shared" si="0"/>
        <v>1949</v>
      </c>
      <c r="D9" s="97">
        <f t="shared" si="1"/>
        <v>8</v>
      </c>
      <c r="E9" s="97">
        <f t="shared" si="2"/>
        <v>27</v>
      </c>
      <c r="G9" s="7"/>
      <c r="H9" s="5"/>
      <c r="I9" s="5"/>
      <c r="M9" s="3"/>
    </row>
    <row r="10" spans="1:13" ht="17.25">
      <c r="A10" s="18" t="s">
        <v>114</v>
      </c>
      <c r="B10" s="41" t="s">
        <v>438</v>
      </c>
      <c r="C10" s="97">
        <f t="shared" si="0"/>
        <v>1954</v>
      </c>
      <c r="D10" s="97">
        <f t="shared" si="1"/>
        <v>5</v>
      </c>
      <c r="E10" s="97">
        <f t="shared" si="2"/>
        <v>23</v>
      </c>
      <c r="F10" s="7"/>
      <c r="G10" s="7"/>
      <c r="H10" s="5"/>
      <c r="I10" s="5"/>
      <c r="M10" s="3"/>
    </row>
    <row r="11" spans="1:13" ht="17.25">
      <c r="A11" s="18" t="s">
        <v>306</v>
      </c>
      <c r="B11" s="41" t="s">
        <v>461</v>
      </c>
      <c r="C11" s="97">
        <f t="shared" si="0"/>
        <v>1957</v>
      </c>
      <c r="D11" s="97">
        <f t="shared" si="1"/>
        <v>7</v>
      </c>
      <c r="E11" s="97">
        <f t="shared" si="2"/>
        <v>29</v>
      </c>
      <c r="F11" s="7"/>
      <c r="G11" s="7"/>
      <c r="H11" s="5"/>
      <c r="I11" s="5"/>
      <c r="M11" s="3"/>
    </row>
    <row r="12" spans="1:13" ht="17.25">
      <c r="A12" s="61" t="s">
        <v>14</v>
      </c>
      <c r="B12" s="62" t="s">
        <v>6</v>
      </c>
      <c r="C12" s="63" t="s">
        <v>1</v>
      </c>
      <c r="D12" s="63" t="s">
        <v>2</v>
      </c>
      <c r="E12" s="63" t="s">
        <v>5</v>
      </c>
      <c r="F12" s="64" t="s">
        <v>218</v>
      </c>
      <c r="G12" s="65" t="s">
        <v>15</v>
      </c>
      <c r="H12" s="65" t="s">
        <v>16</v>
      </c>
      <c r="I12" s="65" t="s">
        <v>17</v>
      </c>
      <c r="J12" s="65" t="s">
        <v>18</v>
      </c>
      <c r="K12" s="65" t="s">
        <v>19</v>
      </c>
      <c r="L12" s="66" t="s">
        <v>20</v>
      </c>
      <c r="M12" s="3"/>
    </row>
    <row r="13" spans="1:12" ht="17.25">
      <c r="A13" s="31">
        <f aca="true" t="shared" si="3" ref="A13:A44">A12+1</f>
        <v>1</v>
      </c>
      <c r="B13" s="70" t="s">
        <v>220</v>
      </c>
      <c r="C13" s="69">
        <f>YEAR($F$13)</f>
        <v>1968</v>
      </c>
      <c r="D13" s="68">
        <f>MONTH($F$13)</f>
        <v>8</v>
      </c>
      <c r="E13" s="68">
        <f>DAY($F$13)</f>
        <v>22</v>
      </c>
      <c r="F13" s="39">
        <f>DATE(C4,D4,E4)+23*28*4-1</f>
        <v>25072</v>
      </c>
      <c r="G13" s="9"/>
      <c r="H13" s="9"/>
      <c r="I13" s="9"/>
      <c r="J13" s="9"/>
      <c r="K13" s="9"/>
      <c r="L13" s="49">
        <v>1</v>
      </c>
    </row>
    <row r="14" spans="1:12" ht="17.25">
      <c r="A14" s="31">
        <f t="shared" si="3"/>
        <v>2</v>
      </c>
      <c r="B14" s="71" t="s">
        <v>151</v>
      </c>
      <c r="C14" s="72">
        <f>1925+18</f>
        <v>1943</v>
      </c>
      <c r="D14" s="6">
        <v>10</v>
      </c>
      <c r="E14" s="6">
        <v>1</v>
      </c>
      <c r="F14" s="8" t="s">
        <v>330</v>
      </c>
      <c r="G14" s="9">
        <v>2</v>
      </c>
      <c r="H14" s="9"/>
      <c r="I14" s="9">
        <v>6</v>
      </c>
      <c r="J14" s="9">
        <v>1</v>
      </c>
      <c r="K14" s="9"/>
      <c r="L14" s="35"/>
    </row>
    <row r="15" spans="1:12" ht="17.25">
      <c r="A15" s="31">
        <f t="shared" si="3"/>
        <v>3</v>
      </c>
      <c r="B15" s="71" t="s">
        <v>149</v>
      </c>
      <c r="C15" s="72">
        <f>1925+9</f>
        <v>1934</v>
      </c>
      <c r="D15" s="6">
        <v>6</v>
      </c>
      <c r="E15" s="6">
        <v>25</v>
      </c>
      <c r="F15" s="8" t="s">
        <v>150</v>
      </c>
      <c r="G15" s="9">
        <v>1</v>
      </c>
      <c r="H15" s="9"/>
      <c r="I15" s="9">
        <v>6</v>
      </c>
      <c r="J15" s="9">
        <v>1</v>
      </c>
      <c r="K15" s="6"/>
      <c r="L15" s="35"/>
    </row>
    <row r="16" spans="1:12" ht="17.25">
      <c r="A16" s="31">
        <f t="shared" si="3"/>
        <v>4</v>
      </c>
      <c r="B16" s="71" t="s">
        <v>329</v>
      </c>
      <c r="C16" s="72">
        <v>1954</v>
      </c>
      <c r="D16" s="6">
        <v>9</v>
      </c>
      <c r="E16" s="6">
        <v>21</v>
      </c>
      <c r="F16" s="8" t="s">
        <v>431</v>
      </c>
      <c r="G16" s="9">
        <v>1</v>
      </c>
      <c r="H16" s="9"/>
      <c r="I16" s="9">
        <v>6</v>
      </c>
      <c r="J16" s="9"/>
      <c r="K16" s="6"/>
      <c r="L16" s="35" t="s">
        <v>433</v>
      </c>
    </row>
    <row r="17" spans="1:12" ht="17.25">
      <c r="A17" s="31">
        <f t="shared" si="3"/>
        <v>5</v>
      </c>
      <c r="B17" s="71" t="s">
        <v>434</v>
      </c>
      <c r="C17" s="72">
        <v>1940</v>
      </c>
      <c r="D17" s="6">
        <v>9</v>
      </c>
      <c r="E17" s="6">
        <v>20</v>
      </c>
      <c r="F17" s="8" t="s">
        <v>448</v>
      </c>
      <c r="G17" s="9">
        <v>1</v>
      </c>
      <c r="H17" s="9"/>
      <c r="I17" s="9">
        <v>6</v>
      </c>
      <c r="J17" s="9"/>
      <c r="K17" s="6"/>
      <c r="L17" s="35" t="s">
        <v>433</v>
      </c>
    </row>
    <row r="18" spans="1:12" ht="17.25">
      <c r="A18" s="31">
        <f t="shared" si="3"/>
        <v>6</v>
      </c>
      <c r="B18" s="71" t="s">
        <v>446</v>
      </c>
      <c r="C18" s="72">
        <v>1949</v>
      </c>
      <c r="D18" s="6">
        <v>8</v>
      </c>
      <c r="E18" s="6">
        <v>27</v>
      </c>
      <c r="F18" s="8" t="s">
        <v>459</v>
      </c>
      <c r="G18" s="9">
        <v>1</v>
      </c>
      <c r="H18" s="9"/>
      <c r="I18" s="9">
        <v>6</v>
      </c>
      <c r="J18" s="9"/>
      <c r="K18" s="6"/>
      <c r="L18" s="35" t="s">
        <v>433</v>
      </c>
    </row>
    <row r="19" spans="1:12" ht="17.25">
      <c r="A19" s="31">
        <f t="shared" si="3"/>
        <v>7</v>
      </c>
      <c r="B19" s="71" t="s">
        <v>442</v>
      </c>
      <c r="C19" s="72">
        <v>1957</v>
      </c>
      <c r="D19" s="6">
        <v>4</v>
      </c>
      <c r="E19" s="6">
        <v>19</v>
      </c>
      <c r="F19" s="8" t="s">
        <v>455</v>
      </c>
      <c r="G19" s="9">
        <v>1</v>
      </c>
      <c r="H19" s="9"/>
      <c r="I19" s="9">
        <v>6</v>
      </c>
      <c r="J19" s="9"/>
      <c r="K19" s="6"/>
      <c r="L19" s="35" t="s">
        <v>433</v>
      </c>
    </row>
    <row r="20" spans="1:12" ht="17.25">
      <c r="A20" s="31">
        <f t="shared" si="3"/>
        <v>8</v>
      </c>
      <c r="B20" s="71" t="s">
        <v>447</v>
      </c>
      <c r="C20" s="72">
        <v>1959</v>
      </c>
      <c r="D20" s="6">
        <v>2</v>
      </c>
      <c r="E20" s="6">
        <v>20</v>
      </c>
      <c r="F20" s="8" t="s">
        <v>460</v>
      </c>
      <c r="G20" s="9">
        <v>2</v>
      </c>
      <c r="H20" s="9"/>
      <c r="I20" s="9">
        <v>6</v>
      </c>
      <c r="J20" s="9"/>
      <c r="K20" s="6"/>
      <c r="L20" s="35" t="s">
        <v>433</v>
      </c>
    </row>
    <row r="21" spans="1:12" ht="17.25">
      <c r="A21" s="31">
        <f t="shared" si="3"/>
        <v>9</v>
      </c>
      <c r="B21" s="71" t="s">
        <v>443</v>
      </c>
      <c r="C21" s="72">
        <v>1960</v>
      </c>
      <c r="D21" s="6">
        <v>5</v>
      </c>
      <c r="E21" s="6">
        <v>5</v>
      </c>
      <c r="F21" s="8" t="s">
        <v>456</v>
      </c>
      <c r="G21" s="9">
        <v>1</v>
      </c>
      <c r="H21" s="9"/>
      <c r="I21" s="9">
        <v>6</v>
      </c>
      <c r="J21" s="9"/>
      <c r="K21" s="6"/>
      <c r="L21" s="35" t="s">
        <v>433</v>
      </c>
    </row>
    <row r="22" spans="1:12" ht="17.25">
      <c r="A22" s="31">
        <f t="shared" si="3"/>
        <v>10</v>
      </c>
      <c r="B22" s="71" t="s">
        <v>437</v>
      </c>
      <c r="C22" s="72">
        <v>1957</v>
      </c>
      <c r="D22" s="6">
        <v>7</v>
      </c>
      <c r="E22" s="6">
        <v>29</v>
      </c>
      <c r="F22" s="8" t="s">
        <v>451</v>
      </c>
      <c r="G22" s="9">
        <v>1</v>
      </c>
      <c r="H22" s="9"/>
      <c r="I22" s="9">
        <v>6</v>
      </c>
      <c r="J22" s="9"/>
      <c r="K22" s="6"/>
      <c r="L22" s="35" t="s">
        <v>433</v>
      </c>
    </row>
    <row r="23" spans="1:12" ht="17.25">
      <c r="A23" s="31">
        <f t="shared" si="3"/>
        <v>11</v>
      </c>
      <c r="B23" s="71" t="s">
        <v>438</v>
      </c>
      <c r="C23" s="72">
        <v>1954</v>
      </c>
      <c r="D23" s="6">
        <v>5</v>
      </c>
      <c r="E23" s="6">
        <v>23</v>
      </c>
      <c r="F23" s="8" t="s">
        <v>452</v>
      </c>
      <c r="G23" s="9">
        <v>1</v>
      </c>
      <c r="H23" s="9"/>
      <c r="I23" s="9">
        <v>6</v>
      </c>
      <c r="J23" s="9"/>
      <c r="K23" s="6"/>
      <c r="L23" s="35" t="s">
        <v>433</v>
      </c>
    </row>
    <row r="24" spans="1:12" ht="17.25">
      <c r="A24" s="31">
        <f t="shared" si="3"/>
        <v>12</v>
      </c>
      <c r="B24" s="71" t="s">
        <v>435</v>
      </c>
      <c r="C24" s="72">
        <v>1958</v>
      </c>
      <c r="D24" s="6">
        <v>1</v>
      </c>
      <c r="E24" s="6">
        <v>20</v>
      </c>
      <c r="F24" s="8" t="s">
        <v>449</v>
      </c>
      <c r="G24" s="9">
        <v>1</v>
      </c>
      <c r="H24" s="9"/>
      <c r="I24" s="9">
        <v>6</v>
      </c>
      <c r="J24" s="9"/>
      <c r="K24" s="6"/>
      <c r="L24" s="35" t="s">
        <v>433</v>
      </c>
    </row>
    <row r="25" spans="1:12" ht="17.25">
      <c r="A25" s="31">
        <f t="shared" si="3"/>
        <v>13</v>
      </c>
      <c r="B25" s="71" t="s">
        <v>444</v>
      </c>
      <c r="C25" s="72">
        <v>1948</v>
      </c>
      <c r="D25" s="6">
        <v>12</v>
      </c>
      <c r="E25" s="6">
        <v>6</v>
      </c>
      <c r="F25" s="8" t="s">
        <v>457</v>
      </c>
      <c r="G25" s="9">
        <v>1</v>
      </c>
      <c r="H25" s="9"/>
      <c r="I25" s="9">
        <v>6</v>
      </c>
      <c r="J25" s="9"/>
      <c r="K25" s="6"/>
      <c r="L25" s="35" t="s">
        <v>433</v>
      </c>
    </row>
    <row r="26" spans="1:12" ht="17.25">
      <c r="A26" s="31">
        <f t="shared" si="3"/>
        <v>14</v>
      </c>
      <c r="B26" s="71" t="s">
        <v>436</v>
      </c>
      <c r="C26" s="72">
        <v>1945</v>
      </c>
      <c r="D26" s="6">
        <v>3</v>
      </c>
      <c r="E26" s="6">
        <v>7</v>
      </c>
      <c r="F26" s="8" t="s">
        <v>450</v>
      </c>
      <c r="G26" s="9">
        <v>1</v>
      </c>
      <c r="H26" s="9"/>
      <c r="I26" s="9">
        <v>6</v>
      </c>
      <c r="J26" s="9"/>
      <c r="K26" s="6"/>
      <c r="L26" s="35" t="s">
        <v>433</v>
      </c>
    </row>
    <row r="27" spans="1:12" ht="17.25">
      <c r="A27" s="31">
        <f t="shared" si="3"/>
        <v>15</v>
      </c>
      <c r="B27" s="71" t="s">
        <v>445</v>
      </c>
      <c r="C27" s="72">
        <v>1951</v>
      </c>
      <c r="D27" s="6">
        <v>3</v>
      </c>
      <c r="E27" s="6">
        <v>7</v>
      </c>
      <c r="F27" s="8" t="s">
        <v>458</v>
      </c>
      <c r="G27" s="9">
        <v>1</v>
      </c>
      <c r="H27" s="9"/>
      <c r="I27" s="9">
        <v>6</v>
      </c>
      <c r="J27" s="9"/>
      <c r="K27" s="6"/>
      <c r="L27" s="35" t="s">
        <v>433</v>
      </c>
    </row>
    <row r="28" spans="1:12" ht="17.25">
      <c r="A28" s="31">
        <f t="shared" si="3"/>
        <v>16</v>
      </c>
      <c r="B28" s="71" t="s">
        <v>439</v>
      </c>
      <c r="C28" s="72">
        <v>1961</v>
      </c>
      <c r="D28" s="6">
        <v>1</v>
      </c>
      <c r="E28" s="6">
        <v>19</v>
      </c>
      <c r="F28" s="8" t="s">
        <v>453</v>
      </c>
      <c r="G28" s="9">
        <v>1</v>
      </c>
      <c r="H28" s="9"/>
      <c r="I28" s="9">
        <v>6</v>
      </c>
      <c r="J28" s="9"/>
      <c r="K28" s="6"/>
      <c r="L28" s="35" t="s">
        <v>440</v>
      </c>
    </row>
    <row r="29" spans="1:12" ht="17.25">
      <c r="A29" s="31">
        <f t="shared" si="3"/>
        <v>17</v>
      </c>
      <c r="B29" s="71" t="s">
        <v>441</v>
      </c>
      <c r="C29" s="72">
        <v>1955</v>
      </c>
      <c r="D29" s="6">
        <v>10</v>
      </c>
      <c r="E29" s="6">
        <v>7</v>
      </c>
      <c r="F29" s="8" t="s">
        <v>454</v>
      </c>
      <c r="G29" s="9">
        <v>1</v>
      </c>
      <c r="H29" s="9"/>
      <c r="I29" s="9">
        <v>6</v>
      </c>
      <c r="J29" s="9"/>
      <c r="K29" s="6"/>
      <c r="L29" s="35" t="s">
        <v>433</v>
      </c>
    </row>
    <row r="30" spans="1:12" ht="17.25">
      <c r="A30" s="31">
        <f t="shared" si="3"/>
        <v>18</v>
      </c>
      <c r="B30" s="71" t="s">
        <v>308</v>
      </c>
      <c r="C30" s="72">
        <v>1961</v>
      </c>
      <c r="D30" s="6">
        <v>8</v>
      </c>
      <c r="E30" s="6">
        <v>4</v>
      </c>
      <c r="F30" s="8" t="s">
        <v>331</v>
      </c>
      <c r="G30" s="9">
        <v>1</v>
      </c>
      <c r="H30" s="9"/>
      <c r="I30" s="9">
        <v>6</v>
      </c>
      <c r="J30" s="9">
        <v>1</v>
      </c>
      <c r="K30" s="9"/>
      <c r="L30" s="35"/>
    </row>
    <row r="31" spans="1:12" ht="17.25">
      <c r="A31" s="31">
        <f t="shared" si="3"/>
        <v>19</v>
      </c>
      <c r="B31" s="71" t="s">
        <v>307</v>
      </c>
      <c r="C31" s="72">
        <v>1964</v>
      </c>
      <c r="D31" s="6">
        <v>1</v>
      </c>
      <c r="E31" s="6">
        <v>17</v>
      </c>
      <c r="F31" s="8" t="s">
        <v>332</v>
      </c>
      <c r="G31" s="9">
        <v>2</v>
      </c>
      <c r="H31" s="9"/>
      <c r="I31" s="9">
        <v>6</v>
      </c>
      <c r="J31" s="9">
        <v>1</v>
      </c>
      <c r="K31" s="9"/>
      <c r="L31" s="35"/>
    </row>
    <row r="32" spans="1:12" ht="17.25">
      <c r="A32" s="31">
        <f t="shared" si="3"/>
        <v>20</v>
      </c>
      <c r="B32" s="71" t="s">
        <v>154</v>
      </c>
      <c r="C32" s="72">
        <f>1925+15</f>
        <v>1940</v>
      </c>
      <c r="D32" s="6">
        <v>7</v>
      </c>
      <c r="E32" s="6">
        <v>2</v>
      </c>
      <c r="F32" s="8" t="s">
        <v>333</v>
      </c>
      <c r="G32" s="9">
        <v>2</v>
      </c>
      <c r="H32" s="9"/>
      <c r="I32" s="9">
        <v>6</v>
      </c>
      <c r="J32" s="9">
        <v>1</v>
      </c>
      <c r="K32" s="9"/>
      <c r="L32" s="35"/>
    </row>
    <row r="33" spans="1:12" ht="17.25">
      <c r="A33" s="31">
        <f t="shared" si="3"/>
        <v>21</v>
      </c>
      <c r="B33" s="71" t="s">
        <v>152</v>
      </c>
      <c r="C33" s="72">
        <f>1925+16</f>
        <v>1941</v>
      </c>
      <c r="D33" s="6">
        <v>6</v>
      </c>
      <c r="E33" s="6">
        <v>20</v>
      </c>
      <c r="F33" s="8" t="s">
        <v>153</v>
      </c>
      <c r="G33" s="9">
        <v>1</v>
      </c>
      <c r="H33" s="9"/>
      <c r="I33" s="9">
        <v>6</v>
      </c>
      <c r="J33" s="9">
        <v>1</v>
      </c>
      <c r="K33" s="6"/>
      <c r="L33" s="35"/>
    </row>
    <row r="34" spans="1:12" ht="17.25">
      <c r="A34" s="31">
        <f t="shared" si="3"/>
        <v>22</v>
      </c>
      <c r="B34" s="71" t="s">
        <v>138</v>
      </c>
      <c r="C34" s="72">
        <f>1925+43</f>
        <v>1968</v>
      </c>
      <c r="D34" s="6">
        <v>8</v>
      </c>
      <c r="E34" s="6">
        <v>22</v>
      </c>
      <c r="F34" s="8" t="s">
        <v>334</v>
      </c>
      <c r="G34" s="9">
        <v>2</v>
      </c>
      <c r="H34" s="9"/>
      <c r="I34" s="9">
        <v>6</v>
      </c>
      <c r="J34" s="9">
        <v>1</v>
      </c>
      <c r="K34" s="9"/>
      <c r="L34" s="35"/>
    </row>
    <row r="35" spans="1:12" ht="17.25">
      <c r="A35" s="31">
        <f t="shared" si="3"/>
        <v>23</v>
      </c>
      <c r="B35" s="71" t="s">
        <v>136</v>
      </c>
      <c r="C35" s="72">
        <f>1925+49</f>
        <v>1974</v>
      </c>
      <c r="D35" s="6">
        <v>6</v>
      </c>
      <c r="E35" s="6">
        <v>4</v>
      </c>
      <c r="F35" s="8" t="s">
        <v>137</v>
      </c>
      <c r="G35" s="9">
        <v>1</v>
      </c>
      <c r="H35" s="9"/>
      <c r="I35" s="9">
        <v>6</v>
      </c>
      <c r="J35" s="9">
        <v>1</v>
      </c>
      <c r="K35" s="6"/>
      <c r="L35" s="35"/>
    </row>
    <row r="36" spans="1:12" ht="17.25">
      <c r="A36" s="31">
        <f t="shared" si="3"/>
        <v>24</v>
      </c>
      <c r="B36" s="71" t="s">
        <v>141</v>
      </c>
      <c r="C36" s="72">
        <f>1925+20</f>
        <v>1945</v>
      </c>
      <c r="D36" s="6">
        <v>5</v>
      </c>
      <c r="E36" s="6">
        <v>1</v>
      </c>
      <c r="F36" s="8" t="s">
        <v>335</v>
      </c>
      <c r="G36" s="9">
        <v>2</v>
      </c>
      <c r="H36" s="9"/>
      <c r="I36" s="9">
        <v>6</v>
      </c>
      <c r="J36" s="9">
        <v>1</v>
      </c>
      <c r="K36" s="9"/>
      <c r="L36" s="35"/>
    </row>
    <row r="37" spans="1:12" ht="17.25">
      <c r="A37" s="31">
        <f t="shared" si="3"/>
        <v>25</v>
      </c>
      <c r="B37" s="71" t="s">
        <v>139</v>
      </c>
      <c r="C37" s="72">
        <f>1925+21</f>
        <v>1946</v>
      </c>
      <c r="D37" s="6">
        <v>2</v>
      </c>
      <c r="E37" s="6">
        <v>23</v>
      </c>
      <c r="F37" s="8" t="s">
        <v>140</v>
      </c>
      <c r="G37" s="9">
        <v>1</v>
      </c>
      <c r="H37" s="9"/>
      <c r="I37" s="9">
        <v>6</v>
      </c>
      <c r="J37" s="9">
        <v>1</v>
      </c>
      <c r="K37" s="6"/>
      <c r="L37" s="35"/>
    </row>
    <row r="38" spans="1:12" ht="17.25">
      <c r="A38" s="31">
        <f t="shared" si="3"/>
        <v>26</v>
      </c>
      <c r="B38" s="71" t="s">
        <v>184</v>
      </c>
      <c r="C38" s="72">
        <f>1925+39</f>
        <v>1964</v>
      </c>
      <c r="D38" s="6">
        <v>7</v>
      </c>
      <c r="E38" s="6">
        <v>22</v>
      </c>
      <c r="F38" s="8" t="s">
        <v>336</v>
      </c>
      <c r="G38" s="9">
        <v>1</v>
      </c>
      <c r="H38" s="9"/>
      <c r="I38" s="9">
        <v>6</v>
      </c>
      <c r="J38" s="9"/>
      <c r="K38" s="9"/>
      <c r="L38" s="35"/>
    </row>
    <row r="39" spans="1:12" ht="17.25">
      <c r="A39" s="31">
        <f t="shared" si="3"/>
        <v>27</v>
      </c>
      <c r="B39" s="71" t="s">
        <v>185</v>
      </c>
      <c r="C39" s="72">
        <f>1925+40</f>
        <v>1965</v>
      </c>
      <c r="D39" s="6">
        <v>2</v>
      </c>
      <c r="E39" s="6">
        <v>13</v>
      </c>
      <c r="F39" s="8" t="s">
        <v>337</v>
      </c>
      <c r="G39" s="9">
        <v>1</v>
      </c>
      <c r="H39" s="9"/>
      <c r="I39" s="9">
        <v>6</v>
      </c>
      <c r="J39" s="9"/>
      <c r="K39" s="9"/>
      <c r="L39" s="35"/>
    </row>
    <row r="40" spans="1:12" ht="17.25">
      <c r="A40" s="31">
        <f t="shared" si="3"/>
        <v>28</v>
      </c>
      <c r="B40" s="71" t="s">
        <v>189</v>
      </c>
      <c r="C40" s="72">
        <f>1925+26</f>
        <v>1951</v>
      </c>
      <c r="D40" s="6">
        <v>11</v>
      </c>
      <c r="E40" s="6">
        <v>16</v>
      </c>
      <c r="F40" s="8" t="s">
        <v>338</v>
      </c>
      <c r="G40" s="9">
        <v>1</v>
      </c>
      <c r="H40" s="9"/>
      <c r="I40" s="9">
        <v>6</v>
      </c>
      <c r="J40" s="9"/>
      <c r="K40" s="9"/>
      <c r="L40" s="35"/>
    </row>
    <row r="41" spans="1:12" ht="17.25">
      <c r="A41" s="31">
        <f t="shared" si="3"/>
        <v>29</v>
      </c>
      <c r="B41" s="71" t="s">
        <v>188</v>
      </c>
      <c r="C41" s="72">
        <f>1925+32</f>
        <v>1957</v>
      </c>
      <c r="D41" s="6">
        <v>3</v>
      </c>
      <c r="E41" s="6">
        <v>7</v>
      </c>
      <c r="F41" s="8" t="s">
        <v>339</v>
      </c>
      <c r="G41" s="9">
        <v>1</v>
      </c>
      <c r="H41" s="9"/>
      <c r="I41" s="9">
        <v>6</v>
      </c>
      <c r="J41" s="9"/>
      <c r="K41" s="9"/>
      <c r="L41" s="35"/>
    </row>
    <row r="42" spans="1:12" ht="17.25">
      <c r="A42" s="31">
        <f t="shared" si="3"/>
        <v>30</v>
      </c>
      <c r="B42" s="71" t="s">
        <v>340</v>
      </c>
      <c r="C42" s="72">
        <f>1925+35</f>
        <v>1960</v>
      </c>
      <c r="D42" s="6">
        <v>7</v>
      </c>
      <c r="E42" s="6">
        <v>25</v>
      </c>
      <c r="F42" s="8" t="s">
        <v>341</v>
      </c>
      <c r="G42" s="9">
        <v>1</v>
      </c>
      <c r="H42" s="9"/>
      <c r="I42" s="9">
        <v>6</v>
      </c>
      <c r="J42" s="9">
        <v>1</v>
      </c>
      <c r="K42" s="6"/>
      <c r="L42" s="35" t="s">
        <v>342</v>
      </c>
    </row>
    <row r="43" spans="1:12" ht="17.25">
      <c r="A43" s="31">
        <f t="shared" si="3"/>
        <v>31</v>
      </c>
      <c r="B43" s="71" t="s">
        <v>133</v>
      </c>
      <c r="C43" s="72">
        <f>1925+31</f>
        <v>1956</v>
      </c>
      <c r="D43" s="6">
        <v>8</v>
      </c>
      <c r="E43" s="6">
        <v>23</v>
      </c>
      <c r="F43" s="8" t="s">
        <v>343</v>
      </c>
      <c r="G43" s="9">
        <v>2</v>
      </c>
      <c r="H43" s="9"/>
      <c r="I43" s="9">
        <v>6</v>
      </c>
      <c r="J43" s="9">
        <v>1</v>
      </c>
      <c r="K43" s="9"/>
      <c r="L43" s="35"/>
    </row>
    <row r="44" spans="1:12" ht="17.25">
      <c r="A44" s="31">
        <f t="shared" si="3"/>
        <v>32</v>
      </c>
      <c r="B44" s="71" t="s">
        <v>134</v>
      </c>
      <c r="C44" s="72">
        <f>1925+25</f>
        <v>1950</v>
      </c>
      <c r="D44" s="6">
        <v>10</v>
      </c>
      <c r="E44" s="6">
        <v>13</v>
      </c>
      <c r="F44" s="8" t="s">
        <v>135</v>
      </c>
      <c r="G44" s="9">
        <v>1</v>
      </c>
      <c r="H44" s="9"/>
      <c r="I44" s="9">
        <v>6</v>
      </c>
      <c r="J44" s="9">
        <v>1</v>
      </c>
      <c r="K44" s="6"/>
      <c r="L44" s="35"/>
    </row>
    <row r="45" spans="1:12" ht="17.25">
      <c r="A45" s="31">
        <f aca="true" t="shared" si="4" ref="A45:A76">A44+1</f>
        <v>33</v>
      </c>
      <c r="B45" s="71" t="s">
        <v>326</v>
      </c>
      <c r="C45" s="67">
        <v>1942</v>
      </c>
      <c r="D45" s="68">
        <v>5</v>
      </c>
      <c r="E45" s="68">
        <v>24</v>
      </c>
      <c r="F45" s="102" t="s">
        <v>430</v>
      </c>
      <c r="G45" s="9">
        <v>1</v>
      </c>
      <c r="H45" s="103"/>
      <c r="I45" s="9">
        <v>6</v>
      </c>
      <c r="J45" s="9"/>
      <c r="K45" s="6"/>
      <c r="L45" s="35" t="s">
        <v>429</v>
      </c>
    </row>
    <row r="46" spans="1:12" ht="17.25">
      <c r="A46" s="31">
        <f t="shared" si="4"/>
        <v>34</v>
      </c>
      <c r="B46" s="71" t="s">
        <v>344</v>
      </c>
      <c r="C46" s="72">
        <v>1978</v>
      </c>
      <c r="D46" s="6">
        <v>2</v>
      </c>
      <c r="E46" s="6">
        <v>27</v>
      </c>
      <c r="F46" s="8" t="s">
        <v>345</v>
      </c>
      <c r="G46" s="9">
        <v>2</v>
      </c>
      <c r="H46" s="9"/>
      <c r="I46" s="9">
        <v>6</v>
      </c>
      <c r="J46" s="9">
        <v>0</v>
      </c>
      <c r="K46" s="9"/>
      <c r="L46" s="35" t="s">
        <v>346</v>
      </c>
    </row>
    <row r="47" spans="1:12" ht="17.25">
      <c r="A47" s="31">
        <f t="shared" si="4"/>
        <v>35</v>
      </c>
      <c r="B47" s="71" t="s">
        <v>128</v>
      </c>
      <c r="C47" s="72">
        <f>1925+37</f>
        <v>1962</v>
      </c>
      <c r="D47" s="6">
        <v>3</v>
      </c>
      <c r="E47" s="6">
        <v>10</v>
      </c>
      <c r="F47" s="8" t="s">
        <v>347</v>
      </c>
      <c r="G47" s="9">
        <v>2</v>
      </c>
      <c r="H47" s="9"/>
      <c r="I47" s="9">
        <v>6</v>
      </c>
      <c r="J47" s="9">
        <v>0</v>
      </c>
      <c r="K47" s="9"/>
      <c r="L47" s="35"/>
    </row>
    <row r="48" spans="1:12" ht="17.25">
      <c r="A48" s="31">
        <f t="shared" si="4"/>
        <v>36</v>
      </c>
      <c r="B48" s="71" t="s">
        <v>127</v>
      </c>
      <c r="C48" s="72">
        <f>1925+25</f>
        <v>1950</v>
      </c>
      <c r="D48" s="6">
        <v>12</v>
      </c>
      <c r="E48" s="6">
        <v>21</v>
      </c>
      <c r="F48" s="8" t="s">
        <v>129</v>
      </c>
      <c r="G48" s="9">
        <v>1</v>
      </c>
      <c r="H48" s="9"/>
      <c r="I48" s="9">
        <v>6</v>
      </c>
      <c r="J48" s="9">
        <v>0</v>
      </c>
      <c r="K48" s="9"/>
      <c r="L48" s="35"/>
    </row>
    <row r="49" spans="1:12" ht="17.25">
      <c r="A49" s="31">
        <f t="shared" si="4"/>
        <v>37</v>
      </c>
      <c r="B49" s="71" t="s">
        <v>322</v>
      </c>
      <c r="C49" s="67">
        <v>1946</v>
      </c>
      <c r="D49" s="68">
        <v>10</v>
      </c>
      <c r="E49" s="68">
        <v>10</v>
      </c>
      <c r="F49" s="102" t="s">
        <v>432</v>
      </c>
      <c r="G49" s="9">
        <v>1</v>
      </c>
      <c r="H49" s="103"/>
      <c r="I49" s="9">
        <v>6</v>
      </c>
      <c r="J49" s="9"/>
      <c r="K49" s="9"/>
      <c r="L49" s="35" t="s">
        <v>324</v>
      </c>
    </row>
    <row r="50" spans="1:12" ht="17.25">
      <c r="A50" s="31">
        <f t="shared" si="4"/>
        <v>38</v>
      </c>
      <c r="B50" s="71" t="s">
        <v>402</v>
      </c>
      <c r="C50" s="72">
        <v>1941</v>
      </c>
      <c r="D50" s="6">
        <v>5</v>
      </c>
      <c r="E50" s="6">
        <v>22</v>
      </c>
      <c r="F50" s="8" t="s">
        <v>420</v>
      </c>
      <c r="G50" s="9">
        <v>1</v>
      </c>
      <c r="H50" s="9"/>
      <c r="I50" s="9">
        <v>6</v>
      </c>
      <c r="J50" s="9"/>
      <c r="K50" s="6"/>
      <c r="L50" s="35" t="s">
        <v>412</v>
      </c>
    </row>
    <row r="51" spans="1:12" ht="17.25">
      <c r="A51" s="31">
        <f t="shared" si="4"/>
        <v>39</v>
      </c>
      <c r="B51" s="71" t="s">
        <v>325</v>
      </c>
      <c r="C51" s="67">
        <v>1964</v>
      </c>
      <c r="D51" s="68">
        <v>5</v>
      </c>
      <c r="E51" s="68">
        <v>31</v>
      </c>
      <c r="F51" s="102" t="s">
        <v>415</v>
      </c>
      <c r="G51" s="9">
        <v>1</v>
      </c>
      <c r="H51" s="103"/>
      <c r="I51" s="9">
        <v>6</v>
      </c>
      <c r="J51" s="9"/>
      <c r="K51" s="6"/>
      <c r="L51" s="35" t="s">
        <v>324</v>
      </c>
    </row>
    <row r="52" spans="1:12" ht="17.25">
      <c r="A52" s="31">
        <f t="shared" si="4"/>
        <v>40</v>
      </c>
      <c r="B52" s="71" t="s">
        <v>400</v>
      </c>
      <c r="C52" s="72">
        <v>1949</v>
      </c>
      <c r="D52" s="6">
        <v>1</v>
      </c>
      <c r="E52" s="6">
        <v>26</v>
      </c>
      <c r="F52" s="8" t="s">
        <v>418</v>
      </c>
      <c r="G52" s="9">
        <v>1</v>
      </c>
      <c r="H52" s="9"/>
      <c r="I52" s="9">
        <v>6</v>
      </c>
      <c r="J52" s="9"/>
      <c r="K52" s="6"/>
      <c r="L52" s="35" t="s">
        <v>324</v>
      </c>
    </row>
    <row r="53" spans="1:12" ht="17.25">
      <c r="A53" s="31">
        <f t="shared" si="4"/>
        <v>41</v>
      </c>
      <c r="B53" s="71" t="s">
        <v>401</v>
      </c>
      <c r="C53" s="72">
        <v>1951</v>
      </c>
      <c r="D53" s="6">
        <v>7</v>
      </c>
      <c r="E53" s="6">
        <v>29</v>
      </c>
      <c r="F53" s="8" t="s">
        <v>419</v>
      </c>
      <c r="G53" s="9">
        <v>1</v>
      </c>
      <c r="H53" s="9"/>
      <c r="I53" s="9">
        <v>6</v>
      </c>
      <c r="J53" s="9"/>
      <c r="K53" s="6"/>
      <c r="L53" s="35" t="s">
        <v>411</v>
      </c>
    </row>
    <row r="54" spans="1:12" ht="17.25">
      <c r="A54" s="31">
        <f t="shared" si="4"/>
        <v>42</v>
      </c>
      <c r="B54" s="71" t="s">
        <v>403</v>
      </c>
      <c r="C54" s="72">
        <v>1942</v>
      </c>
      <c r="D54" s="6">
        <v>1</v>
      </c>
      <c r="E54" s="6">
        <v>24</v>
      </c>
      <c r="F54" s="8" t="s">
        <v>421</v>
      </c>
      <c r="G54" s="9">
        <v>1</v>
      </c>
      <c r="H54" s="9"/>
      <c r="I54" s="9">
        <v>6</v>
      </c>
      <c r="J54" s="9"/>
      <c r="K54" s="6"/>
      <c r="L54" s="35" t="s">
        <v>324</v>
      </c>
    </row>
    <row r="55" spans="1:12" ht="17.25">
      <c r="A55" s="31">
        <f t="shared" si="4"/>
        <v>43</v>
      </c>
      <c r="B55" s="71" t="s">
        <v>404</v>
      </c>
      <c r="C55" s="72">
        <v>1938</v>
      </c>
      <c r="D55" s="6">
        <v>3</v>
      </c>
      <c r="E55" s="6">
        <v>6</v>
      </c>
      <c r="F55" s="8" t="s">
        <v>422</v>
      </c>
      <c r="G55" s="9">
        <v>1</v>
      </c>
      <c r="H55" s="9"/>
      <c r="I55" s="9">
        <v>6</v>
      </c>
      <c r="J55" s="9"/>
      <c r="K55" s="6"/>
      <c r="L55" s="35" t="s">
        <v>412</v>
      </c>
    </row>
    <row r="56" spans="1:12" ht="17.25">
      <c r="A56" s="31">
        <f t="shared" si="4"/>
        <v>44</v>
      </c>
      <c r="B56" s="71" t="s">
        <v>409</v>
      </c>
      <c r="C56" s="72">
        <v>1964</v>
      </c>
      <c r="D56" s="6">
        <v>5</v>
      </c>
      <c r="E56" s="6">
        <v>20</v>
      </c>
      <c r="F56" s="8" t="s">
        <v>427</v>
      </c>
      <c r="G56" s="9">
        <v>1</v>
      </c>
      <c r="H56" s="9"/>
      <c r="I56" s="9">
        <v>6</v>
      </c>
      <c r="J56" s="9"/>
      <c r="K56" s="6"/>
      <c r="L56" s="35" t="s">
        <v>324</v>
      </c>
    </row>
    <row r="57" spans="1:12" ht="17.25">
      <c r="A57" s="31">
        <f t="shared" si="4"/>
        <v>45</v>
      </c>
      <c r="B57" s="71" t="s">
        <v>323</v>
      </c>
      <c r="C57" s="67">
        <v>1946</v>
      </c>
      <c r="D57" s="68">
        <v>1</v>
      </c>
      <c r="E57" s="68">
        <v>15</v>
      </c>
      <c r="F57" s="102" t="s">
        <v>414</v>
      </c>
      <c r="G57" s="9">
        <v>1</v>
      </c>
      <c r="H57" s="103"/>
      <c r="I57" s="9">
        <v>6</v>
      </c>
      <c r="J57" s="9"/>
      <c r="K57" s="9"/>
      <c r="L57" s="35" t="s">
        <v>324</v>
      </c>
    </row>
    <row r="58" spans="1:12" ht="17.25">
      <c r="A58" s="31">
        <f t="shared" si="4"/>
        <v>46</v>
      </c>
      <c r="B58" s="71" t="s">
        <v>328</v>
      </c>
      <c r="C58" s="67">
        <v>1959</v>
      </c>
      <c r="D58" s="68">
        <v>8</v>
      </c>
      <c r="E58" s="68">
        <v>6</v>
      </c>
      <c r="F58" s="102" t="s">
        <v>417</v>
      </c>
      <c r="G58" s="9">
        <v>1</v>
      </c>
      <c r="H58" s="103"/>
      <c r="I58" s="9">
        <v>6</v>
      </c>
      <c r="J58" s="9"/>
      <c r="K58" s="9"/>
      <c r="L58" s="35" t="s">
        <v>324</v>
      </c>
    </row>
    <row r="59" spans="1:12" ht="17.25">
      <c r="A59" s="31">
        <f t="shared" si="4"/>
        <v>47</v>
      </c>
      <c r="B59" s="71" t="s">
        <v>410</v>
      </c>
      <c r="C59" s="72">
        <v>1957</v>
      </c>
      <c r="D59" s="6">
        <v>5</v>
      </c>
      <c r="E59" s="6">
        <v>20</v>
      </c>
      <c r="F59" s="8" t="s">
        <v>428</v>
      </c>
      <c r="G59" s="9">
        <v>1</v>
      </c>
      <c r="H59" s="9"/>
      <c r="I59" s="9">
        <v>6</v>
      </c>
      <c r="J59" s="9"/>
      <c r="K59" s="6"/>
      <c r="L59" s="35" t="s">
        <v>324</v>
      </c>
    </row>
    <row r="60" spans="1:12" ht="17.25">
      <c r="A60" s="31">
        <f t="shared" si="4"/>
        <v>48</v>
      </c>
      <c r="B60" s="71" t="s">
        <v>405</v>
      </c>
      <c r="C60" s="72">
        <v>1945</v>
      </c>
      <c r="D60" s="6">
        <v>5</v>
      </c>
      <c r="E60" s="6">
        <v>2</v>
      </c>
      <c r="F60" s="8" t="s">
        <v>423</v>
      </c>
      <c r="G60" s="9">
        <v>1</v>
      </c>
      <c r="H60" s="9"/>
      <c r="I60" s="9">
        <v>6</v>
      </c>
      <c r="J60" s="9"/>
      <c r="K60" s="6"/>
      <c r="L60" s="35" t="s">
        <v>412</v>
      </c>
    </row>
    <row r="61" spans="1:12" ht="17.25">
      <c r="A61" s="31">
        <f t="shared" si="4"/>
        <v>49</v>
      </c>
      <c r="B61" s="71" t="s">
        <v>407</v>
      </c>
      <c r="C61" s="72">
        <v>1971</v>
      </c>
      <c r="D61" s="6">
        <v>8</v>
      </c>
      <c r="E61" s="6">
        <v>21</v>
      </c>
      <c r="F61" s="8" t="s">
        <v>425</v>
      </c>
      <c r="G61" s="9">
        <v>1</v>
      </c>
      <c r="H61" s="9"/>
      <c r="I61" s="9">
        <v>6</v>
      </c>
      <c r="J61" s="9"/>
      <c r="K61" s="6"/>
      <c r="L61" s="35" t="s">
        <v>324</v>
      </c>
    </row>
    <row r="62" spans="1:12" ht="17.25">
      <c r="A62" s="31">
        <f t="shared" si="4"/>
        <v>50</v>
      </c>
      <c r="B62" s="71" t="s">
        <v>327</v>
      </c>
      <c r="C62" s="67">
        <v>1962</v>
      </c>
      <c r="D62" s="68">
        <v>4</v>
      </c>
      <c r="E62" s="68">
        <v>30</v>
      </c>
      <c r="F62" s="102" t="s">
        <v>416</v>
      </c>
      <c r="G62" s="9">
        <v>1</v>
      </c>
      <c r="H62" s="103"/>
      <c r="I62" s="9">
        <v>6</v>
      </c>
      <c r="J62" s="9"/>
      <c r="K62" s="9"/>
      <c r="L62" s="35" t="s">
        <v>324</v>
      </c>
    </row>
    <row r="63" spans="1:12" ht="17.25">
      <c r="A63" s="31">
        <f t="shared" si="4"/>
        <v>51</v>
      </c>
      <c r="B63" s="71" t="s">
        <v>406</v>
      </c>
      <c r="C63" s="72">
        <v>1967</v>
      </c>
      <c r="D63" s="6">
        <v>11</v>
      </c>
      <c r="E63" s="6">
        <v>28</v>
      </c>
      <c r="F63" s="8" t="s">
        <v>424</v>
      </c>
      <c r="G63" s="9">
        <v>2</v>
      </c>
      <c r="H63" s="9"/>
      <c r="I63" s="9">
        <v>6</v>
      </c>
      <c r="J63" s="9"/>
      <c r="K63" s="6"/>
      <c r="L63" s="35" t="s">
        <v>412</v>
      </c>
    </row>
    <row r="64" spans="1:12" ht="17.25">
      <c r="A64" s="31">
        <f t="shared" si="4"/>
        <v>52</v>
      </c>
      <c r="B64" s="71" t="s">
        <v>408</v>
      </c>
      <c r="C64" s="72">
        <v>1938</v>
      </c>
      <c r="D64" s="6">
        <v>8</v>
      </c>
      <c r="E64" s="6">
        <v>22</v>
      </c>
      <c r="F64" s="8" t="s">
        <v>426</v>
      </c>
      <c r="G64" s="9">
        <v>1</v>
      </c>
      <c r="H64" s="9"/>
      <c r="I64" s="9">
        <v>6</v>
      </c>
      <c r="J64" s="9"/>
      <c r="K64" s="6"/>
      <c r="L64" s="35" t="s">
        <v>413</v>
      </c>
    </row>
    <row r="65" spans="1:12" ht="17.25">
      <c r="A65" s="31">
        <f t="shared" si="4"/>
        <v>53</v>
      </c>
      <c r="B65" s="71" t="s">
        <v>160</v>
      </c>
      <c r="C65" s="72">
        <f>1925+45</f>
        <v>1970</v>
      </c>
      <c r="D65" s="6">
        <v>4</v>
      </c>
      <c r="E65" s="6">
        <v>14</v>
      </c>
      <c r="F65" s="8" t="s">
        <v>348</v>
      </c>
      <c r="G65" s="9">
        <v>2</v>
      </c>
      <c r="H65" s="9"/>
      <c r="I65" s="9">
        <v>6</v>
      </c>
      <c r="J65" s="9">
        <v>1</v>
      </c>
      <c r="K65" s="9"/>
      <c r="L65" s="35"/>
    </row>
    <row r="66" spans="1:12" ht="17.25">
      <c r="A66" s="31">
        <f t="shared" si="4"/>
        <v>54</v>
      </c>
      <c r="B66" s="71" t="s">
        <v>158</v>
      </c>
      <c r="C66" s="72">
        <f>1925+47</f>
        <v>1972</v>
      </c>
      <c r="D66" s="6">
        <v>11</v>
      </c>
      <c r="E66" s="6">
        <v>13</v>
      </c>
      <c r="F66" s="8" t="s">
        <v>159</v>
      </c>
      <c r="G66" s="9">
        <v>1</v>
      </c>
      <c r="H66" s="9"/>
      <c r="I66" s="9">
        <v>6</v>
      </c>
      <c r="J66" s="9">
        <v>1</v>
      </c>
      <c r="K66" s="6"/>
      <c r="L66" s="35"/>
    </row>
    <row r="67" spans="1:12" ht="17.25">
      <c r="A67" s="31">
        <f t="shared" si="4"/>
        <v>55</v>
      </c>
      <c r="B67" s="71" t="s">
        <v>126</v>
      </c>
      <c r="C67" s="72">
        <f>1925+39</f>
        <v>1964</v>
      </c>
      <c r="D67" s="6">
        <v>11</v>
      </c>
      <c r="E67" s="6">
        <v>16</v>
      </c>
      <c r="F67" s="8" t="s">
        <v>349</v>
      </c>
      <c r="G67" s="9">
        <v>2</v>
      </c>
      <c r="H67" s="9"/>
      <c r="I67" s="9">
        <v>6</v>
      </c>
      <c r="J67" s="9">
        <v>0</v>
      </c>
      <c r="K67" s="9"/>
      <c r="L67" s="35"/>
    </row>
    <row r="68" spans="1:12" ht="17.25">
      <c r="A68" s="31">
        <f t="shared" si="4"/>
        <v>56</v>
      </c>
      <c r="B68" s="71" t="s">
        <v>209</v>
      </c>
      <c r="C68" s="72">
        <f>1925+41</f>
        <v>1966</v>
      </c>
      <c r="D68" s="6">
        <v>9</v>
      </c>
      <c r="E68" s="6">
        <v>11</v>
      </c>
      <c r="F68" s="8" t="s">
        <v>350</v>
      </c>
      <c r="G68" s="9">
        <v>2</v>
      </c>
      <c r="H68" s="9"/>
      <c r="I68" s="9">
        <v>6</v>
      </c>
      <c r="J68" s="9">
        <v>1</v>
      </c>
      <c r="K68" s="9"/>
      <c r="L68" s="33"/>
    </row>
    <row r="69" spans="1:12" ht="17.25">
      <c r="A69" s="31">
        <f t="shared" si="4"/>
        <v>57</v>
      </c>
      <c r="B69" s="71" t="s">
        <v>175</v>
      </c>
      <c r="C69" s="72">
        <f>1925+40</f>
        <v>1965</v>
      </c>
      <c r="D69" s="6">
        <v>11</v>
      </c>
      <c r="E69" s="6">
        <v>30</v>
      </c>
      <c r="F69" s="8" t="s">
        <v>351</v>
      </c>
      <c r="G69" s="9">
        <v>1</v>
      </c>
      <c r="H69" s="9"/>
      <c r="I69" s="9">
        <v>6</v>
      </c>
      <c r="J69" s="9">
        <v>1</v>
      </c>
      <c r="K69" s="9"/>
      <c r="L69" s="33"/>
    </row>
    <row r="70" spans="1:12" ht="17.25">
      <c r="A70" s="31">
        <f t="shared" si="4"/>
        <v>58</v>
      </c>
      <c r="B70" s="73" t="s">
        <v>210</v>
      </c>
      <c r="C70" s="72">
        <v>1965</v>
      </c>
      <c r="D70" s="9">
        <v>4</v>
      </c>
      <c r="E70" s="9">
        <v>17</v>
      </c>
      <c r="F70" s="34" t="s">
        <v>352</v>
      </c>
      <c r="G70" s="9">
        <v>1</v>
      </c>
      <c r="H70" s="9"/>
      <c r="I70" s="9">
        <v>6</v>
      </c>
      <c r="J70" s="9">
        <v>1</v>
      </c>
      <c r="K70" s="9"/>
      <c r="L70" s="33"/>
    </row>
    <row r="71" spans="1:12" ht="17.25">
      <c r="A71" s="31">
        <f t="shared" si="4"/>
        <v>59</v>
      </c>
      <c r="B71" s="71" t="s">
        <v>170</v>
      </c>
      <c r="C71" s="72">
        <f>1925+9</f>
        <v>1934</v>
      </c>
      <c r="D71" s="6">
        <v>10</v>
      </c>
      <c r="E71" s="6">
        <v>20</v>
      </c>
      <c r="F71" s="8" t="s">
        <v>353</v>
      </c>
      <c r="G71" s="9">
        <v>2</v>
      </c>
      <c r="H71" s="9"/>
      <c r="I71" s="9">
        <v>6</v>
      </c>
      <c r="J71" s="9">
        <v>1</v>
      </c>
      <c r="K71" s="9"/>
      <c r="L71" s="33"/>
    </row>
    <row r="72" spans="1:12" ht="17.25">
      <c r="A72" s="31">
        <f t="shared" si="4"/>
        <v>60</v>
      </c>
      <c r="B72" s="71" t="s">
        <v>21</v>
      </c>
      <c r="C72" s="72">
        <f>35+1925</f>
        <v>1960</v>
      </c>
      <c r="D72" s="9">
        <v>2</v>
      </c>
      <c r="E72" s="9">
        <v>23</v>
      </c>
      <c r="F72" s="8" t="s">
        <v>354</v>
      </c>
      <c r="G72" s="9">
        <v>1</v>
      </c>
      <c r="H72" s="9"/>
      <c r="I72" s="9">
        <v>6</v>
      </c>
      <c r="J72" s="9">
        <v>1</v>
      </c>
      <c r="K72" s="9"/>
      <c r="L72" s="33"/>
    </row>
    <row r="73" spans="1:12" ht="17.25">
      <c r="A73" s="31">
        <f t="shared" si="4"/>
        <v>61</v>
      </c>
      <c r="B73" s="71" t="s">
        <v>22</v>
      </c>
      <c r="C73" s="72">
        <f>38+1925</f>
        <v>1963</v>
      </c>
      <c r="D73" s="9">
        <v>12</v>
      </c>
      <c r="E73" s="9">
        <v>9</v>
      </c>
      <c r="F73" s="8" t="s">
        <v>355</v>
      </c>
      <c r="G73" s="9">
        <v>2</v>
      </c>
      <c r="H73" s="9"/>
      <c r="I73" s="9">
        <v>6</v>
      </c>
      <c r="J73" s="9">
        <v>1</v>
      </c>
      <c r="K73" s="9"/>
      <c r="L73" s="33"/>
    </row>
    <row r="74" spans="1:12" ht="17.25">
      <c r="A74" s="31">
        <f t="shared" si="4"/>
        <v>62</v>
      </c>
      <c r="B74" s="71" t="s">
        <v>169</v>
      </c>
      <c r="C74" s="72">
        <f>1925+8</f>
        <v>1933</v>
      </c>
      <c r="D74" s="6">
        <v>12</v>
      </c>
      <c r="E74" s="6">
        <v>23</v>
      </c>
      <c r="F74" s="8" t="s">
        <v>356</v>
      </c>
      <c r="G74" s="9">
        <v>1</v>
      </c>
      <c r="H74" s="9"/>
      <c r="I74" s="9">
        <v>6</v>
      </c>
      <c r="J74" s="9">
        <v>1</v>
      </c>
      <c r="K74" s="9"/>
      <c r="L74" s="33"/>
    </row>
    <row r="75" spans="1:12" ht="17.25">
      <c r="A75" s="31">
        <f t="shared" si="4"/>
        <v>63</v>
      </c>
      <c r="B75" s="73" t="s">
        <v>65</v>
      </c>
      <c r="C75" s="72">
        <v>2001</v>
      </c>
      <c r="D75" s="9">
        <v>12</v>
      </c>
      <c r="E75" s="9">
        <v>1</v>
      </c>
      <c r="F75" s="34" t="s">
        <v>357</v>
      </c>
      <c r="G75" s="9">
        <v>2</v>
      </c>
      <c r="H75" s="9"/>
      <c r="I75" s="9">
        <v>6</v>
      </c>
      <c r="J75" s="9">
        <v>0</v>
      </c>
      <c r="K75" s="9"/>
      <c r="L75" s="33"/>
    </row>
    <row r="76" spans="1:12" ht="17.25">
      <c r="A76" s="31">
        <f t="shared" si="4"/>
        <v>64</v>
      </c>
      <c r="B76" s="73" t="s">
        <v>211</v>
      </c>
      <c r="C76" s="72">
        <v>1969</v>
      </c>
      <c r="D76" s="9">
        <v>4</v>
      </c>
      <c r="E76" s="9">
        <v>18</v>
      </c>
      <c r="F76" s="34" t="s">
        <v>358</v>
      </c>
      <c r="G76" s="9">
        <v>2</v>
      </c>
      <c r="H76" s="9"/>
      <c r="I76" s="9">
        <v>6</v>
      </c>
      <c r="J76" s="9">
        <v>1</v>
      </c>
      <c r="K76" s="9"/>
      <c r="L76" s="33"/>
    </row>
    <row r="77" spans="1:12" ht="17.25">
      <c r="A77" s="31">
        <f aca="true" t="shared" si="5" ref="A77:A108">A76+1</f>
        <v>65</v>
      </c>
      <c r="B77" s="71" t="s">
        <v>124</v>
      </c>
      <c r="C77" s="72">
        <f>1925+30</f>
        <v>1955</v>
      </c>
      <c r="D77" s="6">
        <v>10</v>
      </c>
      <c r="E77" s="6">
        <v>18</v>
      </c>
      <c r="F77" s="8" t="s">
        <v>125</v>
      </c>
      <c r="G77" s="9">
        <v>1</v>
      </c>
      <c r="H77" s="9"/>
      <c r="I77" s="9">
        <v>6</v>
      </c>
      <c r="J77" s="9">
        <v>0</v>
      </c>
      <c r="K77" s="9"/>
      <c r="L77" s="35"/>
    </row>
    <row r="78" spans="1:12" ht="17.25">
      <c r="A78" s="31">
        <f t="shared" si="5"/>
        <v>66</v>
      </c>
      <c r="B78" s="71" t="s">
        <v>181</v>
      </c>
      <c r="C78" s="72">
        <f>1925+9</f>
        <v>1934</v>
      </c>
      <c r="D78" s="6">
        <v>4</v>
      </c>
      <c r="E78" s="6">
        <v>16</v>
      </c>
      <c r="F78" s="8" t="s">
        <v>359</v>
      </c>
      <c r="G78" s="9">
        <v>1</v>
      </c>
      <c r="H78" s="9"/>
      <c r="I78" s="9">
        <v>6</v>
      </c>
      <c r="J78" s="9"/>
      <c r="K78" s="9"/>
      <c r="L78" s="35"/>
    </row>
    <row r="79" spans="1:12" ht="17.25">
      <c r="A79" s="31">
        <f t="shared" si="5"/>
        <v>67</v>
      </c>
      <c r="B79" s="71" t="s">
        <v>180</v>
      </c>
      <c r="C79" s="72">
        <f>1925+16</f>
        <v>1941</v>
      </c>
      <c r="D79" s="6">
        <v>5</v>
      </c>
      <c r="E79" s="6">
        <v>7</v>
      </c>
      <c r="F79" s="8" t="s">
        <v>360</v>
      </c>
      <c r="G79" s="9">
        <v>1</v>
      </c>
      <c r="H79" s="9"/>
      <c r="I79" s="9">
        <v>6</v>
      </c>
      <c r="J79" s="9"/>
      <c r="K79" s="9"/>
      <c r="L79" s="35"/>
    </row>
    <row r="80" spans="1:12" ht="17.25">
      <c r="A80" s="31">
        <f t="shared" si="5"/>
        <v>68</v>
      </c>
      <c r="B80" s="71" t="s">
        <v>165</v>
      </c>
      <c r="C80" s="72">
        <v>1976</v>
      </c>
      <c r="D80" s="6">
        <v>12</v>
      </c>
      <c r="E80" s="6">
        <v>16</v>
      </c>
      <c r="F80" s="8" t="s">
        <v>361</v>
      </c>
      <c r="G80" s="6">
        <v>2</v>
      </c>
      <c r="H80" s="6"/>
      <c r="I80" s="6">
        <v>6</v>
      </c>
      <c r="J80" s="6">
        <v>0</v>
      </c>
      <c r="K80" s="6"/>
      <c r="L80" s="35"/>
    </row>
    <row r="81" spans="1:12" ht="17.25">
      <c r="A81" s="31">
        <f t="shared" si="5"/>
        <v>69</v>
      </c>
      <c r="B81" s="71" t="s">
        <v>148</v>
      </c>
      <c r="C81" s="72">
        <f>1925+25</f>
        <v>1950</v>
      </c>
      <c r="D81" s="6">
        <v>10</v>
      </c>
      <c r="E81" s="6">
        <v>5</v>
      </c>
      <c r="F81" s="8" t="s">
        <v>362</v>
      </c>
      <c r="G81" s="9">
        <v>2</v>
      </c>
      <c r="H81" s="9"/>
      <c r="I81" s="9">
        <v>6</v>
      </c>
      <c r="J81" s="9">
        <v>0</v>
      </c>
      <c r="K81" s="9"/>
      <c r="L81" s="35"/>
    </row>
    <row r="82" spans="1:12" ht="17.25">
      <c r="A82" s="31">
        <f t="shared" si="5"/>
        <v>70</v>
      </c>
      <c r="B82" s="71" t="s">
        <v>146</v>
      </c>
      <c r="C82" s="72">
        <f>1925+22</f>
        <v>1947</v>
      </c>
      <c r="D82" s="6">
        <v>2</v>
      </c>
      <c r="E82" s="6">
        <v>5</v>
      </c>
      <c r="F82" s="8" t="s">
        <v>147</v>
      </c>
      <c r="G82" s="9">
        <v>1</v>
      </c>
      <c r="H82" s="9"/>
      <c r="I82" s="9">
        <v>6</v>
      </c>
      <c r="J82" s="9"/>
      <c r="K82" s="6"/>
      <c r="L82" s="35"/>
    </row>
    <row r="83" spans="1:12" ht="17.25">
      <c r="A83" s="31">
        <f t="shared" si="5"/>
        <v>71</v>
      </c>
      <c r="B83" s="71" t="s">
        <v>190</v>
      </c>
      <c r="C83" s="72">
        <f>1925+49</f>
        <v>1974</v>
      </c>
      <c r="D83" s="6">
        <v>5</v>
      </c>
      <c r="E83" s="6">
        <v>31</v>
      </c>
      <c r="F83" s="8" t="s">
        <v>363</v>
      </c>
      <c r="G83" s="9">
        <v>1</v>
      </c>
      <c r="H83" s="9"/>
      <c r="I83" s="9">
        <v>6</v>
      </c>
      <c r="J83" s="9"/>
      <c r="K83" s="9"/>
      <c r="L83" s="35"/>
    </row>
    <row r="84" spans="1:12" ht="17.25">
      <c r="A84" s="31">
        <f t="shared" si="5"/>
        <v>72</v>
      </c>
      <c r="B84" s="71" t="s">
        <v>191</v>
      </c>
      <c r="C84" s="72">
        <f>1925+49</f>
        <v>1974</v>
      </c>
      <c r="D84" s="6">
        <v>8</v>
      </c>
      <c r="E84" s="6">
        <v>1</v>
      </c>
      <c r="F84" s="8" t="s">
        <v>364</v>
      </c>
      <c r="G84" s="9">
        <v>1</v>
      </c>
      <c r="H84" s="9"/>
      <c r="I84" s="9">
        <v>6</v>
      </c>
      <c r="J84" s="9"/>
      <c r="K84" s="9"/>
      <c r="L84" s="35"/>
    </row>
    <row r="85" spans="1:12" ht="17.25">
      <c r="A85" s="31">
        <f t="shared" si="5"/>
        <v>73</v>
      </c>
      <c r="B85" s="71" t="s">
        <v>304</v>
      </c>
      <c r="C85" s="72">
        <v>1948</v>
      </c>
      <c r="D85" s="6">
        <v>8</v>
      </c>
      <c r="E85" s="6">
        <v>19</v>
      </c>
      <c r="F85" s="8" t="s">
        <v>365</v>
      </c>
      <c r="G85" s="9">
        <v>1</v>
      </c>
      <c r="H85" s="9">
        <v>1</v>
      </c>
      <c r="I85" s="9">
        <v>6</v>
      </c>
      <c r="J85" s="9"/>
      <c r="K85" s="9"/>
      <c r="L85" s="35"/>
    </row>
    <row r="86" spans="1:12" ht="17.25">
      <c r="A86" s="31">
        <f t="shared" si="5"/>
        <v>74</v>
      </c>
      <c r="B86" s="71" t="s">
        <v>305</v>
      </c>
      <c r="C86" s="72">
        <v>1941</v>
      </c>
      <c r="D86" s="6">
        <v>1</v>
      </c>
      <c r="E86" s="6">
        <v>5</v>
      </c>
      <c r="F86" s="8" t="s">
        <v>366</v>
      </c>
      <c r="G86" s="9">
        <v>1</v>
      </c>
      <c r="H86" s="9">
        <v>2</v>
      </c>
      <c r="I86" s="9">
        <v>6</v>
      </c>
      <c r="J86" s="9"/>
      <c r="K86" s="9"/>
      <c r="L86" s="35"/>
    </row>
    <row r="87" spans="1:12" ht="17.25">
      <c r="A87" s="31">
        <f t="shared" si="5"/>
        <v>75</v>
      </c>
      <c r="B87" s="71" t="s">
        <v>155</v>
      </c>
      <c r="C87" s="72">
        <f>1925+48</f>
        <v>1973</v>
      </c>
      <c r="D87" s="6">
        <v>10</v>
      </c>
      <c r="E87" s="6">
        <v>13</v>
      </c>
      <c r="F87" s="8" t="s">
        <v>367</v>
      </c>
      <c r="G87" s="9">
        <v>2</v>
      </c>
      <c r="H87" s="9"/>
      <c r="I87" s="9">
        <v>6</v>
      </c>
      <c r="J87" s="9">
        <v>1</v>
      </c>
      <c r="K87" s="9"/>
      <c r="L87" s="35"/>
    </row>
    <row r="88" spans="1:12" ht="17.25">
      <c r="A88" s="31">
        <f t="shared" si="5"/>
        <v>76</v>
      </c>
      <c r="B88" s="71" t="s">
        <v>156</v>
      </c>
      <c r="C88" s="72">
        <f>1925+48</f>
        <v>1973</v>
      </c>
      <c r="D88" s="6">
        <v>12</v>
      </c>
      <c r="E88" s="6">
        <v>19</v>
      </c>
      <c r="F88" s="8" t="s">
        <v>157</v>
      </c>
      <c r="G88" s="9">
        <v>1</v>
      </c>
      <c r="H88" s="9"/>
      <c r="I88" s="9">
        <v>6</v>
      </c>
      <c r="J88" s="9">
        <v>1</v>
      </c>
      <c r="K88" s="6"/>
      <c r="L88" s="35"/>
    </row>
    <row r="89" spans="1:12" ht="17.25">
      <c r="A89" s="31">
        <f t="shared" si="5"/>
        <v>77</v>
      </c>
      <c r="B89" s="71" t="s">
        <v>172</v>
      </c>
      <c r="C89" s="72">
        <f>1925+38</f>
        <v>1963</v>
      </c>
      <c r="D89" s="6">
        <v>5</v>
      </c>
      <c r="E89" s="6">
        <v>11</v>
      </c>
      <c r="F89" s="8" t="s">
        <v>368</v>
      </c>
      <c r="G89" s="9">
        <v>1</v>
      </c>
      <c r="H89" s="9"/>
      <c r="I89" s="9">
        <v>6</v>
      </c>
      <c r="J89" s="9"/>
      <c r="K89" s="9"/>
      <c r="L89" s="35"/>
    </row>
    <row r="90" spans="1:12" ht="17.25">
      <c r="A90" s="31">
        <f t="shared" si="5"/>
        <v>78</v>
      </c>
      <c r="B90" s="71" t="s">
        <v>171</v>
      </c>
      <c r="C90" s="72">
        <f>1925+39</f>
        <v>1964</v>
      </c>
      <c r="D90" s="6">
        <v>9</v>
      </c>
      <c r="E90" s="6">
        <v>8</v>
      </c>
      <c r="F90" s="8" t="s">
        <v>369</v>
      </c>
      <c r="G90" s="9">
        <v>1</v>
      </c>
      <c r="H90" s="9"/>
      <c r="I90" s="9">
        <v>6</v>
      </c>
      <c r="J90" s="9"/>
      <c r="K90" s="9"/>
      <c r="L90" s="35"/>
    </row>
    <row r="91" spans="1:12" ht="17.25">
      <c r="A91" s="31">
        <f t="shared" si="5"/>
        <v>79</v>
      </c>
      <c r="B91" s="71" t="s">
        <v>202</v>
      </c>
      <c r="C91" s="72">
        <f>1925+36</f>
        <v>1961</v>
      </c>
      <c r="D91" s="6">
        <v>1</v>
      </c>
      <c r="E91" s="6">
        <v>20</v>
      </c>
      <c r="F91" s="8" t="s">
        <v>370</v>
      </c>
      <c r="G91" s="9">
        <v>1</v>
      </c>
      <c r="H91" s="9"/>
      <c r="I91" s="9">
        <v>6</v>
      </c>
      <c r="J91" s="9"/>
      <c r="K91" s="9"/>
      <c r="L91" s="35"/>
    </row>
    <row r="92" spans="1:12" ht="17.25">
      <c r="A92" s="31">
        <f t="shared" si="5"/>
        <v>80</v>
      </c>
      <c r="B92" s="71" t="s">
        <v>201</v>
      </c>
      <c r="C92" s="72">
        <f>1925+37</f>
        <v>1962</v>
      </c>
      <c r="D92" s="6">
        <v>11</v>
      </c>
      <c r="E92" s="6">
        <v>25</v>
      </c>
      <c r="F92" s="8" t="s">
        <v>371</v>
      </c>
      <c r="G92" s="9">
        <v>1</v>
      </c>
      <c r="H92" s="9"/>
      <c r="I92" s="9">
        <v>6</v>
      </c>
      <c r="J92" s="9"/>
      <c r="K92" s="9"/>
      <c r="L92" s="35"/>
    </row>
    <row r="93" spans="1:12" ht="17.25">
      <c r="A93" s="31">
        <f t="shared" si="5"/>
        <v>81</v>
      </c>
      <c r="B93" s="71" t="s">
        <v>200</v>
      </c>
      <c r="C93" s="72">
        <f>1925+38</f>
        <v>1963</v>
      </c>
      <c r="D93" s="6">
        <v>3</v>
      </c>
      <c r="E93" s="6">
        <v>15</v>
      </c>
      <c r="F93" s="8" t="s">
        <v>372</v>
      </c>
      <c r="G93" s="9">
        <v>1</v>
      </c>
      <c r="H93" s="9"/>
      <c r="I93" s="9">
        <v>6</v>
      </c>
      <c r="J93" s="9"/>
      <c r="K93" s="9"/>
      <c r="L93" s="35"/>
    </row>
    <row r="94" spans="1:12" ht="17.25">
      <c r="A94" s="31">
        <f t="shared" si="5"/>
        <v>82</v>
      </c>
      <c r="B94" s="71" t="s">
        <v>205</v>
      </c>
      <c r="C94" s="72">
        <f>1925+3</f>
        <v>1928</v>
      </c>
      <c r="D94" s="6">
        <v>7</v>
      </c>
      <c r="E94" s="6">
        <v>30</v>
      </c>
      <c r="F94" s="8" t="s">
        <v>373</v>
      </c>
      <c r="G94" s="9">
        <v>1</v>
      </c>
      <c r="H94" s="9"/>
      <c r="I94" s="9">
        <v>6</v>
      </c>
      <c r="J94" s="9"/>
      <c r="K94" s="9"/>
      <c r="L94" s="35"/>
    </row>
    <row r="95" spans="1:12" ht="17.25">
      <c r="A95" s="31">
        <f t="shared" si="5"/>
        <v>83</v>
      </c>
      <c r="B95" s="71" t="s">
        <v>203</v>
      </c>
      <c r="C95" s="72">
        <f>1925+6</f>
        <v>1931</v>
      </c>
      <c r="D95" s="6">
        <v>11</v>
      </c>
      <c r="E95" s="6">
        <v>1</v>
      </c>
      <c r="F95" s="8" t="s">
        <v>374</v>
      </c>
      <c r="G95" s="9">
        <v>1</v>
      </c>
      <c r="H95" s="9"/>
      <c r="I95" s="9">
        <v>6</v>
      </c>
      <c r="J95" s="9"/>
      <c r="K95" s="9"/>
      <c r="L95" s="35"/>
    </row>
    <row r="96" spans="1:12" ht="17.25">
      <c r="A96" s="31">
        <f t="shared" si="5"/>
        <v>84</v>
      </c>
      <c r="B96" s="71" t="s">
        <v>204</v>
      </c>
      <c r="C96" s="72">
        <f>1925+18</f>
        <v>1943</v>
      </c>
      <c r="D96" s="6">
        <v>3</v>
      </c>
      <c r="E96" s="6">
        <v>1</v>
      </c>
      <c r="F96" s="8" t="s">
        <v>375</v>
      </c>
      <c r="G96" s="9">
        <v>1</v>
      </c>
      <c r="H96" s="9"/>
      <c r="I96" s="9">
        <v>6</v>
      </c>
      <c r="J96" s="9"/>
      <c r="K96" s="9"/>
      <c r="L96" s="35"/>
    </row>
    <row r="97" spans="1:12" ht="17.25">
      <c r="A97" s="31">
        <f t="shared" si="5"/>
        <v>85</v>
      </c>
      <c r="B97" s="71" t="s">
        <v>208</v>
      </c>
      <c r="C97" s="72">
        <f>1925+25</f>
        <v>1950</v>
      </c>
      <c r="D97" s="6">
        <v>2</v>
      </c>
      <c r="E97" s="6">
        <v>20</v>
      </c>
      <c r="F97" s="8" t="s">
        <v>376</v>
      </c>
      <c r="G97" s="9">
        <v>1</v>
      </c>
      <c r="H97" s="9"/>
      <c r="I97" s="9">
        <v>6</v>
      </c>
      <c r="J97" s="9"/>
      <c r="K97" s="9"/>
      <c r="L97" s="35"/>
    </row>
    <row r="98" spans="1:12" ht="17.25">
      <c r="A98" s="31">
        <f t="shared" si="5"/>
        <v>86</v>
      </c>
      <c r="B98" s="71" t="s">
        <v>206</v>
      </c>
      <c r="C98" s="72">
        <f>1925+14</f>
        <v>1939</v>
      </c>
      <c r="D98" s="6">
        <v>3</v>
      </c>
      <c r="E98" s="6">
        <v>8</v>
      </c>
      <c r="F98" s="8" t="s">
        <v>377</v>
      </c>
      <c r="G98" s="9">
        <v>1</v>
      </c>
      <c r="H98" s="9"/>
      <c r="I98" s="9">
        <v>6</v>
      </c>
      <c r="J98" s="9"/>
      <c r="K98" s="9"/>
      <c r="L98" s="35"/>
    </row>
    <row r="99" spans="1:12" ht="17.25">
      <c r="A99" s="31">
        <f t="shared" si="5"/>
        <v>87</v>
      </c>
      <c r="B99" s="71" t="s">
        <v>207</v>
      </c>
      <c r="C99" s="72">
        <f>1925+16</f>
        <v>1941</v>
      </c>
      <c r="D99" s="6">
        <v>7</v>
      </c>
      <c r="E99" s="6">
        <v>5</v>
      </c>
      <c r="F99" s="8" t="s">
        <v>378</v>
      </c>
      <c r="G99" s="9">
        <v>1</v>
      </c>
      <c r="H99" s="9"/>
      <c r="I99" s="9">
        <v>6</v>
      </c>
      <c r="J99" s="9"/>
      <c r="K99" s="9"/>
      <c r="L99" s="35"/>
    </row>
    <row r="100" spans="1:12" ht="17.25">
      <c r="A100" s="31">
        <f t="shared" si="5"/>
        <v>88</v>
      </c>
      <c r="B100" s="71" t="s">
        <v>182</v>
      </c>
      <c r="C100" s="72">
        <f>1925+36</f>
        <v>1961</v>
      </c>
      <c r="D100" s="6">
        <v>10</v>
      </c>
      <c r="E100" s="6">
        <v>22</v>
      </c>
      <c r="F100" s="8" t="s">
        <v>379</v>
      </c>
      <c r="G100" s="9">
        <v>1</v>
      </c>
      <c r="H100" s="9"/>
      <c r="I100" s="9">
        <v>6</v>
      </c>
      <c r="J100" s="9"/>
      <c r="K100" s="9"/>
      <c r="L100" s="35"/>
    </row>
    <row r="101" spans="1:12" ht="17.25">
      <c r="A101" s="31">
        <f t="shared" si="5"/>
        <v>89</v>
      </c>
      <c r="B101" s="71" t="s">
        <v>183</v>
      </c>
      <c r="C101" s="72">
        <f>1925+37</f>
        <v>1962</v>
      </c>
      <c r="D101" s="6">
        <v>3</v>
      </c>
      <c r="E101" s="6">
        <v>9</v>
      </c>
      <c r="F101" s="8" t="s">
        <v>380</v>
      </c>
      <c r="G101" s="9">
        <v>1</v>
      </c>
      <c r="H101" s="9"/>
      <c r="I101" s="9">
        <v>6</v>
      </c>
      <c r="J101" s="9"/>
      <c r="K101" s="9"/>
      <c r="L101" s="35"/>
    </row>
    <row r="102" spans="1:12" ht="17.25">
      <c r="A102" s="31">
        <f t="shared" si="5"/>
        <v>90</v>
      </c>
      <c r="B102" s="71" t="s">
        <v>193</v>
      </c>
      <c r="C102" s="72">
        <f>1925+45</f>
        <v>1970</v>
      </c>
      <c r="D102" s="6">
        <v>7</v>
      </c>
      <c r="E102" s="6">
        <v>3</v>
      </c>
      <c r="F102" s="8" t="s">
        <v>381</v>
      </c>
      <c r="G102" s="9">
        <v>1</v>
      </c>
      <c r="H102" s="9"/>
      <c r="I102" s="9">
        <v>6</v>
      </c>
      <c r="J102" s="9"/>
      <c r="K102" s="9"/>
      <c r="L102" s="35"/>
    </row>
    <row r="103" spans="1:12" ht="17.25">
      <c r="A103" s="31">
        <f t="shared" si="5"/>
        <v>91</v>
      </c>
      <c r="B103" s="71" t="s">
        <v>192</v>
      </c>
      <c r="C103" s="72">
        <f>1925+46</f>
        <v>1971</v>
      </c>
      <c r="D103" s="6">
        <v>10</v>
      </c>
      <c r="E103" s="6">
        <v>23</v>
      </c>
      <c r="F103" s="8" t="s">
        <v>382</v>
      </c>
      <c r="G103" s="9">
        <v>1</v>
      </c>
      <c r="H103" s="9"/>
      <c r="I103" s="9">
        <v>6</v>
      </c>
      <c r="J103" s="9"/>
      <c r="K103" s="9"/>
      <c r="L103" s="35"/>
    </row>
    <row r="104" spans="1:12" ht="17.25">
      <c r="A104" s="31">
        <f t="shared" si="5"/>
        <v>92</v>
      </c>
      <c r="B104" s="71" t="s">
        <v>123</v>
      </c>
      <c r="C104" s="72">
        <f>1925+43</f>
        <v>1968</v>
      </c>
      <c r="D104" s="6">
        <v>8</v>
      </c>
      <c r="E104" s="6">
        <v>25</v>
      </c>
      <c r="F104" s="8" t="s">
        <v>383</v>
      </c>
      <c r="G104" s="9">
        <v>2</v>
      </c>
      <c r="H104" s="9"/>
      <c r="I104" s="9">
        <v>6</v>
      </c>
      <c r="J104" s="9">
        <v>1</v>
      </c>
      <c r="K104" s="9"/>
      <c r="L104" s="35"/>
    </row>
    <row r="105" spans="1:12" ht="17.25">
      <c r="A105" s="31">
        <f t="shared" si="5"/>
        <v>93</v>
      </c>
      <c r="B105" s="71" t="s">
        <v>121</v>
      </c>
      <c r="C105" s="72">
        <f>1925+31</f>
        <v>1956</v>
      </c>
      <c r="D105" s="6">
        <v>2</v>
      </c>
      <c r="E105" s="6">
        <v>23</v>
      </c>
      <c r="F105" s="8" t="s">
        <v>122</v>
      </c>
      <c r="G105" s="9">
        <v>1</v>
      </c>
      <c r="H105" s="9"/>
      <c r="I105" s="9">
        <v>6</v>
      </c>
      <c r="J105" s="9">
        <v>1</v>
      </c>
      <c r="K105" s="6"/>
      <c r="L105" s="35"/>
    </row>
    <row r="106" spans="1:12" ht="17.25">
      <c r="A106" s="31">
        <f t="shared" si="5"/>
        <v>94</v>
      </c>
      <c r="B106" s="71" t="s">
        <v>178</v>
      </c>
      <c r="C106" s="72">
        <f>1925+47</f>
        <v>1972</v>
      </c>
      <c r="D106" s="6">
        <v>8</v>
      </c>
      <c r="E106" s="6">
        <v>20</v>
      </c>
      <c r="F106" s="8" t="s">
        <v>384</v>
      </c>
      <c r="G106" s="9">
        <v>2</v>
      </c>
      <c r="H106" s="9"/>
      <c r="I106" s="9">
        <v>6</v>
      </c>
      <c r="J106" s="9">
        <v>0</v>
      </c>
      <c r="K106" s="9"/>
      <c r="L106" s="35"/>
    </row>
    <row r="107" spans="1:12" ht="17.25">
      <c r="A107" s="31">
        <f t="shared" si="5"/>
        <v>95</v>
      </c>
      <c r="B107" s="71" t="s">
        <v>179</v>
      </c>
      <c r="C107" s="72">
        <f>1925+37</f>
        <v>1962</v>
      </c>
      <c r="D107" s="6">
        <v>7</v>
      </c>
      <c r="E107" s="6">
        <v>21</v>
      </c>
      <c r="F107" s="8" t="s">
        <v>177</v>
      </c>
      <c r="G107" s="9">
        <v>1</v>
      </c>
      <c r="H107" s="9"/>
      <c r="I107" s="9">
        <v>6</v>
      </c>
      <c r="J107" s="9">
        <v>0</v>
      </c>
      <c r="K107" s="9"/>
      <c r="L107" s="35"/>
    </row>
    <row r="108" spans="1:12" ht="17.25">
      <c r="A108" s="31">
        <f t="shared" si="5"/>
        <v>96</v>
      </c>
      <c r="B108" s="71" t="s">
        <v>186</v>
      </c>
      <c r="C108" s="72">
        <f>1925+40</f>
        <v>1965</v>
      </c>
      <c r="D108" s="6">
        <v>5</v>
      </c>
      <c r="E108" s="6">
        <v>3</v>
      </c>
      <c r="F108" s="8" t="s">
        <v>385</v>
      </c>
      <c r="G108" s="9">
        <v>1</v>
      </c>
      <c r="H108" s="9"/>
      <c r="I108" s="9">
        <v>6</v>
      </c>
      <c r="J108" s="9"/>
      <c r="K108" s="9"/>
      <c r="L108" s="35"/>
    </row>
    <row r="109" spans="1:12" ht="17.25">
      <c r="A109" s="31">
        <f aca="true" t="shared" si="6" ref="A109:A140">A108+1</f>
        <v>97</v>
      </c>
      <c r="B109" s="71" t="s">
        <v>187</v>
      </c>
      <c r="C109" s="72">
        <f>1925+40</f>
        <v>1965</v>
      </c>
      <c r="D109" s="6">
        <v>1</v>
      </c>
      <c r="E109" s="6">
        <v>10</v>
      </c>
      <c r="F109" s="8" t="s">
        <v>386</v>
      </c>
      <c r="G109" s="9">
        <v>1</v>
      </c>
      <c r="H109" s="9"/>
      <c r="I109" s="9">
        <v>6</v>
      </c>
      <c r="J109" s="9"/>
      <c r="K109" s="9"/>
      <c r="L109" s="35"/>
    </row>
    <row r="110" spans="1:12" ht="17.25">
      <c r="A110" s="31">
        <f t="shared" si="6"/>
        <v>98</v>
      </c>
      <c r="B110" s="74" t="s">
        <v>221</v>
      </c>
      <c r="C110" s="67">
        <f>1925+33</f>
        <v>1958</v>
      </c>
      <c r="D110" s="68">
        <v>2</v>
      </c>
      <c r="E110" s="68">
        <v>20</v>
      </c>
      <c r="F110" s="8" t="s">
        <v>387</v>
      </c>
      <c r="G110" s="9">
        <v>2</v>
      </c>
      <c r="H110" s="9">
        <v>3</v>
      </c>
      <c r="I110" s="9">
        <v>6</v>
      </c>
      <c r="J110" s="9">
        <v>0</v>
      </c>
      <c r="K110" s="9"/>
      <c r="L110" s="35"/>
    </row>
    <row r="111" spans="1:12" ht="17.25">
      <c r="A111" s="31">
        <f t="shared" si="6"/>
        <v>99</v>
      </c>
      <c r="B111" s="74" t="s">
        <v>216</v>
      </c>
      <c r="C111" s="67">
        <f>1925+32</f>
        <v>1957</v>
      </c>
      <c r="D111" s="68">
        <v>9</v>
      </c>
      <c r="E111" s="68">
        <v>16</v>
      </c>
      <c r="F111" s="8" t="s">
        <v>219</v>
      </c>
      <c r="G111" s="9">
        <v>1</v>
      </c>
      <c r="H111" s="9"/>
      <c r="I111" s="9">
        <v>6</v>
      </c>
      <c r="J111" s="9">
        <v>0</v>
      </c>
      <c r="K111" s="9"/>
      <c r="L111" s="35"/>
    </row>
    <row r="112" spans="1:12" ht="17.25">
      <c r="A112" s="31">
        <f t="shared" si="6"/>
        <v>100</v>
      </c>
      <c r="B112" s="71" t="s">
        <v>316</v>
      </c>
      <c r="C112" s="72">
        <v>1984</v>
      </c>
      <c r="D112" s="6">
        <v>5</v>
      </c>
      <c r="E112" s="6">
        <v>9</v>
      </c>
      <c r="F112" s="8" t="s">
        <v>317</v>
      </c>
      <c r="G112" s="9">
        <v>2</v>
      </c>
      <c r="H112" s="9">
        <v>2</v>
      </c>
      <c r="I112" s="9">
        <v>6</v>
      </c>
      <c r="J112" s="9">
        <v>0</v>
      </c>
      <c r="K112" s="9"/>
      <c r="L112" s="35"/>
    </row>
    <row r="113" spans="1:12" ht="17.25">
      <c r="A113" s="31">
        <f t="shared" si="6"/>
        <v>101</v>
      </c>
      <c r="B113" s="71" t="s">
        <v>320</v>
      </c>
      <c r="C113" s="72">
        <v>1959</v>
      </c>
      <c r="D113" s="6">
        <v>1</v>
      </c>
      <c r="E113" s="6">
        <v>11</v>
      </c>
      <c r="F113" s="8" t="s">
        <v>321</v>
      </c>
      <c r="G113" s="9">
        <v>1</v>
      </c>
      <c r="H113" s="9"/>
      <c r="I113" s="9">
        <v>6</v>
      </c>
      <c r="J113" s="9">
        <v>1</v>
      </c>
      <c r="K113" s="9"/>
      <c r="L113" s="35"/>
    </row>
    <row r="114" spans="1:12" ht="17.25">
      <c r="A114" s="31">
        <f t="shared" si="6"/>
        <v>102</v>
      </c>
      <c r="B114" s="71" t="s">
        <v>388</v>
      </c>
      <c r="C114" s="72">
        <v>1980</v>
      </c>
      <c r="D114" s="6">
        <v>10</v>
      </c>
      <c r="E114" s="6">
        <v>30</v>
      </c>
      <c r="F114" s="8" t="s">
        <v>389</v>
      </c>
      <c r="G114" s="9">
        <v>1</v>
      </c>
      <c r="H114" s="9"/>
      <c r="I114" s="9">
        <v>6</v>
      </c>
      <c r="J114" s="9"/>
      <c r="K114" s="6"/>
      <c r="L114" s="35" t="s">
        <v>390</v>
      </c>
    </row>
    <row r="115" spans="1:12" ht="17.25">
      <c r="A115" s="31">
        <f t="shared" si="6"/>
        <v>103</v>
      </c>
      <c r="B115" s="71" t="s">
        <v>318</v>
      </c>
      <c r="C115" s="72">
        <v>1988</v>
      </c>
      <c r="D115" s="6">
        <v>11</v>
      </c>
      <c r="E115" s="6">
        <v>1</v>
      </c>
      <c r="F115" s="8" t="s">
        <v>319</v>
      </c>
      <c r="G115" s="9">
        <v>2</v>
      </c>
      <c r="H115" s="9"/>
      <c r="I115" s="9">
        <v>6</v>
      </c>
      <c r="J115" s="9">
        <v>0</v>
      </c>
      <c r="K115" s="9"/>
      <c r="L115" s="35"/>
    </row>
    <row r="116" spans="1:12" ht="17.25">
      <c r="A116" s="31">
        <f t="shared" si="6"/>
        <v>104</v>
      </c>
      <c r="B116" s="75" t="s">
        <v>284</v>
      </c>
      <c r="C116" s="67">
        <v>1974</v>
      </c>
      <c r="D116" s="68">
        <v>2</v>
      </c>
      <c r="E116" s="68">
        <v>22</v>
      </c>
      <c r="F116" s="8" t="s">
        <v>391</v>
      </c>
      <c r="G116" s="9">
        <v>1</v>
      </c>
      <c r="H116" s="9"/>
      <c r="I116" s="9">
        <v>6</v>
      </c>
      <c r="J116" s="9">
        <v>1</v>
      </c>
      <c r="K116" s="9"/>
      <c r="L116" s="35"/>
    </row>
    <row r="117" spans="1:12" ht="17.25">
      <c r="A117" s="31">
        <f t="shared" si="6"/>
        <v>105</v>
      </c>
      <c r="B117" s="75" t="s">
        <v>282</v>
      </c>
      <c r="C117" s="67">
        <v>1971</v>
      </c>
      <c r="D117" s="68">
        <v>6</v>
      </c>
      <c r="E117" s="68">
        <v>28</v>
      </c>
      <c r="F117" s="8" t="s">
        <v>283</v>
      </c>
      <c r="G117" s="9">
        <v>2</v>
      </c>
      <c r="H117" s="9"/>
      <c r="I117" s="9">
        <v>6</v>
      </c>
      <c r="J117" s="9">
        <v>1</v>
      </c>
      <c r="K117" s="9"/>
      <c r="L117" s="35"/>
    </row>
    <row r="118" spans="1:12" ht="17.25">
      <c r="A118" s="31">
        <f t="shared" si="6"/>
        <v>106</v>
      </c>
      <c r="B118" s="75" t="s">
        <v>120</v>
      </c>
      <c r="C118" s="72">
        <f>1867+43</f>
        <v>1910</v>
      </c>
      <c r="D118" s="9">
        <v>11</v>
      </c>
      <c r="E118" s="9">
        <v>10</v>
      </c>
      <c r="F118" s="8" t="s">
        <v>392</v>
      </c>
      <c r="G118" s="9">
        <v>1</v>
      </c>
      <c r="H118" s="9"/>
      <c r="I118" s="9">
        <v>6</v>
      </c>
      <c r="J118" s="9">
        <v>1</v>
      </c>
      <c r="K118" s="6"/>
      <c r="L118" s="35"/>
    </row>
    <row r="119" spans="1:12" ht="17.25">
      <c r="A119" s="31">
        <f t="shared" si="6"/>
        <v>107</v>
      </c>
      <c r="B119" s="75" t="s">
        <v>118</v>
      </c>
      <c r="C119" s="72">
        <f>1867+39</f>
        <v>1906</v>
      </c>
      <c r="D119" s="9">
        <v>11</v>
      </c>
      <c r="E119" s="9">
        <v>17</v>
      </c>
      <c r="F119" s="8" t="s">
        <v>119</v>
      </c>
      <c r="G119" s="9">
        <v>1</v>
      </c>
      <c r="H119" s="9"/>
      <c r="I119" s="9">
        <v>6</v>
      </c>
      <c r="J119" s="9">
        <v>1</v>
      </c>
      <c r="K119" s="9"/>
      <c r="L119" s="35"/>
    </row>
    <row r="120" spans="1:12" ht="17.25">
      <c r="A120" s="31">
        <f t="shared" si="6"/>
        <v>108</v>
      </c>
      <c r="B120" s="71" t="s">
        <v>176</v>
      </c>
      <c r="C120" s="72">
        <v>1959</v>
      </c>
      <c r="D120" s="9">
        <v>1</v>
      </c>
      <c r="E120" s="9">
        <v>17</v>
      </c>
      <c r="F120" s="8" t="s">
        <v>393</v>
      </c>
      <c r="G120" s="9">
        <v>2</v>
      </c>
      <c r="H120" s="9"/>
      <c r="I120" s="9">
        <v>6</v>
      </c>
      <c r="J120" s="9">
        <v>1</v>
      </c>
      <c r="K120" s="9"/>
      <c r="L120" s="35"/>
    </row>
    <row r="121" spans="1:12" ht="17.25">
      <c r="A121" s="31">
        <f t="shared" si="6"/>
        <v>109</v>
      </c>
      <c r="B121" s="71" t="s">
        <v>23</v>
      </c>
      <c r="C121" s="72">
        <v>1952</v>
      </c>
      <c r="D121" s="9">
        <v>1</v>
      </c>
      <c r="E121" s="9">
        <v>28</v>
      </c>
      <c r="F121" s="8" t="s">
        <v>24</v>
      </c>
      <c r="G121" s="9">
        <v>1</v>
      </c>
      <c r="H121" s="9"/>
      <c r="I121" s="9">
        <v>6</v>
      </c>
      <c r="J121" s="9">
        <v>1</v>
      </c>
      <c r="K121" s="9"/>
      <c r="L121" s="35"/>
    </row>
    <row r="122" spans="1:12" ht="17.25">
      <c r="A122" s="31">
        <f t="shared" si="6"/>
        <v>110</v>
      </c>
      <c r="B122" s="71" t="s">
        <v>194</v>
      </c>
      <c r="C122" s="72">
        <f>1925+25</f>
        <v>1950</v>
      </c>
      <c r="D122" s="6">
        <v>10</v>
      </c>
      <c r="E122" s="6">
        <v>3</v>
      </c>
      <c r="F122" s="8" t="s">
        <v>196</v>
      </c>
      <c r="G122" s="9">
        <v>1</v>
      </c>
      <c r="H122" s="9"/>
      <c r="I122" s="9">
        <v>6</v>
      </c>
      <c r="J122" s="9"/>
      <c r="K122" s="9"/>
      <c r="L122" s="35"/>
    </row>
    <row r="123" spans="1:12" ht="17.25">
      <c r="A123" s="31">
        <f t="shared" si="6"/>
        <v>111</v>
      </c>
      <c r="B123" s="71" t="s">
        <v>195</v>
      </c>
      <c r="C123" s="72">
        <f>1925+30</f>
        <v>1955</v>
      </c>
      <c r="D123" s="6">
        <v>8</v>
      </c>
      <c r="E123" s="6">
        <v>28</v>
      </c>
      <c r="F123" s="8" t="s">
        <v>197</v>
      </c>
      <c r="G123" s="9">
        <v>2</v>
      </c>
      <c r="H123" s="9"/>
      <c r="I123" s="9">
        <v>6</v>
      </c>
      <c r="J123" s="9"/>
      <c r="K123" s="9"/>
      <c r="L123" s="35"/>
    </row>
    <row r="124" spans="1:12" ht="17.25">
      <c r="A124" s="31">
        <f t="shared" si="6"/>
        <v>112</v>
      </c>
      <c r="B124" s="71" t="s">
        <v>142</v>
      </c>
      <c r="C124" s="72">
        <f>1925+22</f>
        <v>1947</v>
      </c>
      <c r="D124" s="6">
        <v>11</v>
      </c>
      <c r="E124" s="6">
        <v>18</v>
      </c>
      <c r="F124" s="8" t="s">
        <v>143</v>
      </c>
      <c r="G124" s="9">
        <v>1</v>
      </c>
      <c r="H124" s="9"/>
      <c r="I124" s="9">
        <v>6</v>
      </c>
      <c r="J124" s="9">
        <v>1</v>
      </c>
      <c r="K124" s="6"/>
      <c r="L124" s="35"/>
    </row>
    <row r="125" spans="1:12" ht="17.25">
      <c r="A125" s="31">
        <f t="shared" si="6"/>
        <v>113</v>
      </c>
      <c r="B125" s="71" t="s">
        <v>144</v>
      </c>
      <c r="C125" s="72">
        <f>1925+33</f>
        <v>1958</v>
      </c>
      <c r="D125" s="6">
        <v>10</v>
      </c>
      <c r="E125" s="6">
        <v>13</v>
      </c>
      <c r="F125" s="8" t="s">
        <v>145</v>
      </c>
      <c r="G125" s="9">
        <v>2</v>
      </c>
      <c r="H125" s="9"/>
      <c r="I125" s="9">
        <v>6</v>
      </c>
      <c r="J125" s="9">
        <v>1</v>
      </c>
      <c r="K125" s="9"/>
      <c r="L125" s="35"/>
    </row>
    <row r="126" spans="1:12" ht="17.25">
      <c r="A126" s="31">
        <f t="shared" si="6"/>
        <v>114</v>
      </c>
      <c r="B126" s="71" t="s">
        <v>173</v>
      </c>
      <c r="C126" s="72">
        <f>1925+21</f>
        <v>1946</v>
      </c>
      <c r="D126" s="6">
        <v>7</v>
      </c>
      <c r="E126" s="6">
        <v>2</v>
      </c>
      <c r="F126" s="8" t="s">
        <v>394</v>
      </c>
      <c r="G126" s="9">
        <v>1</v>
      </c>
      <c r="H126" s="9"/>
      <c r="I126" s="9">
        <v>6</v>
      </c>
      <c r="J126" s="9"/>
      <c r="K126" s="9"/>
      <c r="L126" s="35"/>
    </row>
    <row r="127" spans="1:12" ht="17.25">
      <c r="A127" s="31">
        <f t="shared" si="6"/>
        <v>115</v>
      </c>
      <c r="B127" s="71" t="s">
        <v>174</v>
      </c>
      <c r="C127" s="72">
        <f>1925+19</f>
        <v>1944</v>
      </c>
      <c r="D127" s="6">
        <v>3</v>
      </c>
      <c r="E127" s="6">
        <v>18</v>
      </c>
      <c r="F127" s="8" t="s">
        <v>395</v>
      </c>
      <c r="G127" s="9">
        <v>1</v>
      </c>
      <c r="H127" s="9"/>
      <c r="I127" s="9">
        <v>6</v>
      </c>
      <c r="J127" s="9"/>
      <c r="K127" s="9"/>
      <c r="L127" s="35"/>
    </row>
    <row r="128" spans="1:12" ht="17.25">
      <c r="A128" s="31">
        <f t="shared" si="6"/>
        <v>116</v>
      </c>
      <c r="B128" s="71" t="s">
        <v>130</v>
      </c>
      <c r="C128" s="72">
        <f>1925+30</f>
        <v>1955</v>
      </c>
      <c r="D128" s="6">
        <v>3</v>
      </c>
      <c r="E128" s="6">
        <v>20</v>
      </c>
      <c r="F128" s="8" t="s">
        <v>396</v>
      </c>
      <c r="G128" s="9">
        <v>2</v>
      </c>
      <c r="H128" s="9"/>
      <c r="I128" s="9">
        <v>6</v>
      </c>
      <c r="J128" s="9">
        <v>1</v>
      </c>
      <c r="K128" s="9"/>
      <c r="L128" s="35"/>
    </row>
    <row r="129" spans="1:12" ht="17.25">
      <c r="A129" s="31">
        <f t="shared" si="6"/>
        <v>117</v>
      </c>
      <c r="B129" s="71" t="s">
        <v>131</v>
      </c>
      <c r="C129" s="72">
        <f>1925+28</f>
        <v>1953</v>
      </c>
      <c r="D129" s="6">
        <v>2</v>
      </c>
      <c r="E129" s="6">
        <v>4</v>
      </c>
      <c r="F129" s="8" t="s">
        <v>132</v>
      </c>
      <c r="G129" s="9">
        <v>1</v>
      </c>
      <c r="H129" s="9"/>
      <c r="I129" s="9">
        <v>6</v>
      </c>
      <c r="J129" s="9">
        <v>1</v>
      </c>
      <c r="K129" s="6"/>
      <c r="L129" s="35"/>
    </row>
    <row r="130" spans="1:12" ht="17.25">
      <c r="A130" s="31">
        <f t="shared" si="6"/>
        <v>118</v>
      </c>
      <c r="B130" s="71" t="s">
        <v>198</v>
      </c>
      <c r="C130" s="72">
        <f>1925+48</f>
        <v>1973</v>
      </c>
      <c r="D130" s="6">
        <v>12</v>
      </c>
      <c r="E130" s="6">
        <v>4</v>
      </c>
      <c r="F130" s="8" t="s">
        <v>397</v>
      </c>
      <c r="G130" s="9">
        <v>1</v>
      </c>
      <c r="H130" s="9"/>
      <c r="I130" s="9">
        <v>6</v>
      </c>
      <c r="J130" s="9"/>
      <c r="K130" s="9"/>
      <c r="L130" s="35"/>
    </row>
    <row r="131" spans="1:12" ht="17.25">
      <c r="A131" s="31">
        <f t="shared" si="6"/>
        <v>119</v>
      </c>
      <c r="B131" s="71" t="s">
        <v>199</v>
      </c>
      <c r="C131" s="72">
        <f>1925+47</f>
        <v>1972</v>
      </c>
      <c r="D131" s="6">
        <v>1</v>
      </c>
      <c r="E131" s="6">
        <v>8</v>
      </c>
      <c r="F131" s="8" t="s">
        <v>398</v>
      </c>
      <c r="G131" s="9">
        <v>1</v>
      </c>
      <c r="H131" s="9"/>
      <c r="I131" s="9">
        <v>6</v>
      </c>
      <c r="J131" s="9"/>
      <c r="K131" s="9"/>
      <c r="L131" s="35"/>
    </row>
    <row r="132" spans="1:12" ht="17.25">
      <c r="A132" s="31">
        <f t="shared" si="6"/>
        <v>120</v>
      </c>
      <c r="B132" s="71" t="s">
        <v>163</v>
      </c>
      <c r="C132" s="72">
        <f>1925+34</f>
        <v>1959</v>
      </c>
      <c r="D132" s="6">
        <v>5</v>
      </c>
      <c r="E132" s="6">
        <v>8</v>
      </c>
      <c r="F132" s="8" t="s">
        <v>399</v>
      </c>
      <c r="G132" s="9">
        <v>2</v>
      </c>
      <c r="H132" s="9"/>
      <c r="I132" s="9">
        <v>6</v>
      </c>
      <c r="J132" s="9">
        <v>1</v>
      </c>
      <c r="K132" s="9"/>
      <c r="L132" s="35"/>
    </row>
    <row r="133" spans="1:12" ht="17.25">
      <c r="A133" s="31">
        <f t="shared" si="6"/>
        <v>121</v>
      </c>
      <c r="B133" s="71" t="s">
        <v>161</v>
      </c>
      <c r="C133" s="72">
        <f>1925+36</f>
        <v>1961</v>
      </c>
      <c r="D133" s="6">
        <v>5</v>
      </c>
      <c r="E133" s="6">
        <v>12</v>
      </c>
      <c r="F133" s="8" t="s">
        <v>162</v>
      </c>
      <c r="G133" s="9">
        <v>1</v>
      </c>
      <c r="H133" s="9"/>
      <c r="I133" s="9">
        <v>6</v>
      </c>
      <c r="J133" s="9">
        <v>1</v>
      </c>
      <c r="K133" s="6"/>
      <c r="L133" s="35"/>
    </row>
    <row r="134" spans="1:12" ht="17.25">
      <c r="A134" s="31">
        <f t="shared" si="6"/>
        <v>122</v>
      </c>
      <c r="B134" s="71"/>
      <c r="C134" s="72"/>
      <c r="D134" s="6"/>
      <c r="E134" s="6"/>
      <c r="F134" s="8"/>
      <c r="G134" s="9"/>
      <c r="H134" s="9"/>
      <c r="I134" s="104"/>
      <c r="J134" s="9"/>
      <c r="K134" s="6"/>
      <c r="L134" s="35"/>
    </row>
    <row r="135" spans="1:12" ht="17.25">
      <c r="A135" s="31">
        <f t="shared" si="6"/>
        <v>123</v>
      </c>
      <c r="B135" s="71"/>
      <c r="C135" s="72"/>
      <c r="D135" s="6"/>
      <c r="E135" s="6"/>
      <c r="F135" s="8"/>
      <c r="G135" s="9"/>
      <c r="H135" s="9"/>
      <c r="I135" s="104"/>
      <c r="J135" s="9"/>
      <c r="K135" s="6"/>
      <c r="L135" s="35"/>
    </row>
    <row r="136" spans="1:12" ht="17.25">
      <c r="A136" s="31">
        <f t="shared" si="6"/>
        <v>124</v>
      </c>
      <c r="B136" s="71"/>
      <c r="C136" s="72"/>
      <c r="D136" s="6"/>
      <c r="E136" s="6"/>
      <c r="F136" s="8"/>
      <c r="G136" s="9"/>
      <c r="H136" s="9"/>
      <c r="I136" s="104"/>
      <c r="J136" s="9"/>
      <c r="K136" s="6"/>
      <c r="L136" s="35"/>
    </row>
    <row r="137" spans="1:12" ht="17.25">
      <c r="A137" s="31">
        <f t="shared" si="6"/>
        <v>125</v>
      </c>
      <c r="B137" s="71"/>
      <c r="C137" s="72"/>
      <c r="D137" s="6"/>
      <c r="E137" s="6"/>
      <c r="F137" s="8"/>
      <c r="G137" s="9"/>
      <c r="H137" s="9"/>
      <c r="I137" s="104"/>
      <c r="J137" s="9"/>
      <c r="K137" s="6"/>
      <c r="L137" s="35"/>
    </row>
    <row r="138" spans="1:12" ht="17.25">
      <c r="A138" s="31">
        <f t="shared" si="6"/>
        <v>126</v>
      </c>
      <c r="B138" s="71"/>
      <c r="C138" s="72"/>
      <c r="D138" s="6"/>
      <c r="E138" s="6"/>
      <c r="F138" s="8"/>
      <c r="G138" s="9"/>
      <c r="H138" s="9"/>
      <c r="I138" s="104"/>
      <c r="J138" s="9"/>
      <c r="K138" s="6"/>
      <c r="L138" s="35"/>
    </row>
    <row r="139" spans="1:12" ht="17.25">
      <c r="A139" s="31">
        <f t="shared" si="6"/>
        <v>127</v>
      </c>
      <c r="B139" s="71"/>
      <c r="C139" s="72"/>
      <c r="D139" s="6"/>
      <c r="E139" s="6"/>
      <c r="F139" s="8"/>
      <c r="G139" s="9"/>
      <c r="H139" s="9"/>
      <c r="I139" s="104"/>
      <c r="J139" s="9"/>
      <c r="K139" s="6"/>
      <c r="L139" s="35"/>
    </row>
    <row r="140" spans="1:12" ht="17.25">
      <c r="A140" s="31">
        <f t="shared" si="6"/>
        <v>128</v>
      </c>
      <c r="B140" s="71"/>
      <c r="C140" s="72"/>
      <c r="D140" s="6"/>
      <c r="E140" s="6"/>
      <c r="F140" s="8"/>
      <c r="G140" s="9"/>
      <c r="H140" s="9"/>
      <c r="I140" s="104"/>
      <c r="J140" s="9"/>
      <c r="K140" s="6"/>
      <c r="L140" s="35"/>
    </row>
    <row r="141" spans="1:12" ht="17.25">
      <c r="A141" s="31">
        <f aca="true" t="shared" si="7" ref="A141:A172">A140+1</f>
        <v>129</v>
      </c>
      <c r="B141" s="71"/>
      <c r="C141" s="72"/>
      <c r="D141" s="6"/>
      <c r="E141" s="6"/>
      <c r="F141" s="8"/>
      <c r="G141" s="9"/>
      <c r="H141" s="9"/>
      <c r="I141" s="104"/>
      <c r="J141" s="9"/>
      <c r="K141" s="6"/>
      <c r="L141" s="35"/>
    </row>
    <row r="142" spans="1:12" ht="17.25">
      <c r="A142" s="31">
        <f t="shared" si="7"/>
        <v>130</v>
      </c>
      <c r="B142" s="71"/>
      <c r="C142" s="72"/>
      <c r="D142" s="6"/>
      <c r="E142" s="6"/>
      <c r="F142" s="8"/>
      <c r="G142" s="9"/>
      <c r="H142" s="9"/>
      <c r="I142" s="104"/>
      <c r="J142" s="9"/>
      <c r="K142" s="6"/>
      <c r="L142" s="35"/>
    </row>
    <row r="143" spans="1:12" ht="17.25">
      <c r="A143" s="31">
        <f t="shared" si="7"/>
        <v>131</v>
      </c>
      <c r="B143" s="71"/>
      <c r="C143" s="72"/>
      <c r="D143" s="6"/>
      <c r="E143" s="6"/>
      <c r="F143" s="8"/>
      <c r="G143" s="9"/>
      <c r="H143" s="9"/>
      <c r="I143" s="104"/>
      <c r="J143" s="9"/>
      <c r="K143" s="6"/>
      <c r="L143" s="35"/>
    </row>
    <row r="144" spans="1:12" ht="17.25">
      <c r="A144" s="31">
        <f t="shared" si="7"/>
        <v>132</v>
      </c>
      <c r="B144" s="71"/>
      <c r="C144" s="72"/>
      <c r="D144" s="6"/>
      <c r="E144" s="6"/>
      <c r="F144" s="8"/>
      <c r="G144" s="9"/>
      <c r="H144" s="9"/>
      <c r="I144" s="104"/>
      <c r="J144" s="9"/>
      <c r="K144" s="6"/>
      <c r="L144" s="35"/>
    </row>
    <row r="145" spans="1:12" ht="17.25">
      <c r="A145" s="31">
        <f t="shared" si="7"/>
        <v>133</v>
      </c>
      <c r="B145" s="71"/>
      <c r="C145" s="72"/>
      <c r="D145" s="6"/>
      <c r="E145" s="6"/>
      <c r="F145" s="8"/>
      <c r="G145" s="9"/>
      <c r="H145" s="9"/>
      <c r="I145" s="104"/>
      <c r="J145" s="9"/>
      <c r="K145" s="6"/>
      <c r="L145" s="35"/>
    </row>
    <row r="146" spans="1:12" ht="17.25">
      <c r="A146" s="31">
        <f t="shared" si="7"/>
        <v>134</v>
      </c>
      <c r="B146" s="71"/>
      <c r="C146" s="72"/>
      <c r="D146" s="6"/>
      <c r="E146" s="6"/>
      <c r="F146" s="8"/>
      <c r="G146" s="9"/>
      <c r="H146" s="9"/>
      <c r="I146" s="104"/>
      <c r="J146" s="9"/>
      <c r="K146" s="6"/>
      <c r="L146" s="35"/>
    </row>
    <row r="147" spans="1:12" ht="17.25">
      <c r="A147" s="31">
        <f t="shared" si="7"/>
        <v>135</v>
      </c>
      <c r="B147" s="71"/>
      <c r="C147" s="72"/>
      <c r="D147" s="6"/>
      <c r="E147" s="6"/>
      <c r="F147" s="8"/>
      <c r="G147" s="9"/>
      <c r="H147" s="9"/>
      <c r="I147" s="104"/>
      <c r="J147" s="9"/>
      <c r="K147" s="6"/>
      <c r="L147" s="35"/>
    </row>
    <row r="148" spans="1:12" ht="17.25">
      <c r="A148" s="31">
        <f t="shared" si="7"/>
        <v>136</v>
      </c>
      <c r="B148" s="71"/>
      <c r="C148" s="72"/>
      <c r="D148" s="6"/>
      <c r="E148" s="6"/>
      <c r="F148" s="8"/>
      <c r="G148" s="9"/>
      <c r="H148" s="9"/>
      <c r="I148" s="104"/>
      <c r="J148" s="9"/>
      <c r="K148" s="6"/>
      <c r="L148" s="35"/>
    </row>
    <row r="149" spans="1:12" ht="17.25">
      <c r="A149" s="31">
        <f t="shared" si="7"/>
        <v>137</v>
      </c>
      <c r="B149" s="71"/>
      <c r="C149" s="72"/>
      <c r="D149" s="6"/>
      <c r="E149" s="6"/>
      <c r="F149" s="8"/>
      <c r="G149" s="9"/>
      <c r="H149" s="9"/>
      <c r="I149" s="104"/>
      <c r="J149" s="9"/>
      <c r="K149" s="6"/>
      <c r="L149" s="35"/>
    </row>
    <row r="150" spans="1:12" ht="17.25">
      <c r="A150" s="31">
        <f t="shared" si="7"/>
        <v>138</v>
      </c>
      <c r="B150" s="71"/>
      <c r="C150" s="72"/>
      <c r="D150" s="6"/>
      <c r="E150" s="6"/>
      <c r="F150" s="8"/>
      <c r="G150" s="9"/>
      <c r="H150" s="9"/>
      <c r="I150" s="104"/>
      <c r="J150" s="9"/>
      <c r="K150" s="6"/>
      <c r="L150" s="35"/>
    </row>
    <row r="151" spans="1:12" ht="17.25">
      <c r="A151" s="31">
        <f t="shared" si="7"/>
        <v>139</v>
      </c>
      <c r="B151" s="71"/>
      <c r="C151" s="72"/>
      <c r="D151" s="6"/>
      <c r="E151" s="6"/>
      <c r="F151" s="8"/>
      <c r="G151" s="9"/>
      <c r="H151" s="9"/>
      <c r="I151" s="104"/>
      <c r="J151" s="9"/>
      <c r="K151" s="6"/>
      <c r="L151" s="35"/>
    </row>
    <row r="152" spans="1:12" ht="17.25">
      <c r="A152" s="31">
        <f t="shared" si="7"/>
        <v>140</v>
      </c>
      <c r="B152" s="71"/>
      <c r="C152" s="72"/>
      <c r="D152" s="6"/>
      <c r="E152" s="6"/>
      <c r="F152" s="8"/>
      <c r="G152" s="9"/>
      <c r="H152" s="9"/>
      <c r="I152" s="104"/>
      <c r="J152" s="9"/>
      <c r="K152" s="6"/>
      <c r="L152" s="35"/>
    </row>
    <row r="153" spans="1:12" ht="17.25">
      <c r="A153" s="31">
        <f t="shared" si="7"/>
        <v>141</v>
      </c>
      <c r="B153" s="71"/>
      <c r="C153" s="72"/>
      <c r="D153" s="6"/>
      <c r="E153" s="6"/>
      <c r="F153" s="8"/>
      <c r="G153" s="9"/>
      <c r="H153" s="9"/>
      <c r="I153" s="104"/>
      <c r="J153" s="9"/>
      <c r="K153" s="6"/>
      <c r="L153" s="35"/>
    </row>
    <row r="154" spans="1:12" ht="17.25">
      <c r="A154" s="31">
        <f t="shared" si="7"/>
        <v>142</v>
      </c>
      <c r="B154" s="71"/>
      <c r="C154" s="72"/>
      <c r="D154" s="6"/>
      <c r="E154" s="6"/>
      <c r="F154" s="8"/>
      <c r="G154" s="9"/>
      <c r="H154" s="9"/>
      <c r="I154" s="104"/>
      <c r="J154" s="9"/>
      <c r="K154" s="6"/>
      <c r="L154" s="35"/>
    </row>
    <row r="155" spans="1:12" ht="17.25">
      <c r="A155" s="31">
        <f t="shared" si="7"/>
        <v>143</v>
      </c>
      <c r="B155" s="71"/>
      <c r="C155" s="72"/>
      <c r="D155" s="6"/>
      <c r="E155" s="6"/>
      <c r="F155" s="8"/>
      <c r="G155" s="9"/>
      <c r="H155" s="9"/>
      <c r="I155" s="104"/>
      <c r="J155" s="9"/>
      <c r="K155" s="6"/>
      <c r="L155" s="35"/>
    </row>
    <row r="156" spans="1:12" ht="17.25">
      <c r="A156" s="31">
        <f t="shared" si="7"/>
        <v>144</v>
      </c>
      <c r="B156" s="71"/>
      <c r="C156" s="72"/>
      <c r="D156" s="6"/>
      <c r="E156" s="6"/>
      <c r="F156" s="8"/>
      <c r="G156" s="9"/>
      <c r="H156" s="9"/>
      <c r="I156" s="104"/>
      <c r="J156" s="9"/>
      <c r="K156" s="6"/>
      <c r="L156" s="35"/>
    </row>
    <row r="157" spans="1:12" ht="17.25">
      <c r="A157" s="31">
        <f t="shared" si="7"/>
        <v>145</v>
      </c>
      <c r="B157" s="71"/>
      <c r="C157" s="72"/>
      <c r="D157" s="6"/>
      <c r="E157" s="6"/>
      <c r="F157" s="8"/>
      <c r="G157" s="9"/>
      <c r="H157" s="9"/>
      <c r="I157" s="104"/>
      <c r="J157" s="9"/>
      <c r="K157" s="6"/>
      <c r="L157" s="35"/>
    </row>
    <row r="158" spans="1:12" ht="17.25">
      <c r="A158" s="31">
        <f t="shared" si="7"/>
        <v>146</v>
      </c>
      <c r="B158" s="71"/>
      <c r="C158" s="72"/>
      <c r="D158" s="6"/>
      <c r="E158" s="6"/>
      <c r="F158" s="8"/>
      <c r="G158" s="9"/>
      <c r="H158" s="9"/>
      <c r="I158" s="104"/>
      <c r="J158" s="9"/>
      <c r="K158" s="6"/>
      <c r="L158" s="35"/>
    </row>
    <row r="159" spans="1:12" ht="17.25">
      <c r="A159" s="31">
        <f t="shared" si="7"/>
        <v>147</v>
      </c>
      <c r="B159" s="71"/>
      <c r="C159" s="72"/>
      <c r="D159" s="6"/>
      <c r="E159" s="6"/>
      <c r="F159" s="8"/>
      <c r="G159" s="9"/>
      <c r="H159" s="9"/>
      <c r="I159" s="104"/>
      <c r="J159" s="9"/>
      <c r="K159" s="6"/>
      <c r="L159" s="35"/>
    </row>
    <row r="160" spans="1:12" ht="17.25">
      <c r="A160" s="31">
        <f t="shared" si="7"/>
        <v>148</v>
      </c>
      <c r="B160" s="71"/>
      <c r="C160" s="72"/>
      <c r="D160" s="6"/>
      <c r="E160" s="6"/>
      <c r="F160" s="8"/>
      <c r="G160" s="9"/>
      <c r="H160" s="9"/>
      <c r="I160" s="104"/>
      <c r="J160" s="9"/>
      <c r="K160" s="6"/>
      <c r="L160" s="35"/>
    </row>
    <row r="161" spans="1:12" ht="17.25">
      <c r="A161" s="31">
        <f t="shared" si="7"/>
        <v>149</v>
      </c>
      <c r="B161" s="71"/>
      <c r="C161" s="72"/>
      <c r="D161" s="6"/>
      <c r="E161" s="6"/>
      <c r="F161" s="8"/>
      <c r="G161" s="9"/>
      <c r="H161" s="9"/>
      <c r="I161" s="104"/>
      <c r="J161" s="9"/>
      <c r="K161" s="6"/>
      <c r="L161" s="35"/>
    </row>
    <row r="162" spans="1:12" ht="17.25">
      <c r="A162" s="31">
        <f t="shared" si="7"/>
        <v>150</v>
      </c>
      <c r="B162" s="71"/>
      <c r="C162" s="72"/>
      <c r="D162" s="6"/>
      <c r="E162" s="6"/>
      <c r="F162" s="8"/>
      <c r="G162" s="9"/>
      <c r="H162" s="9"/>
      <c r="I162" s="104"/>
      <c r="J162" s="9"/>
      <c r="K162" s="6"/>
      <c r="L162" s="35"/>
    </row>
    <row r="163" spans="1:12" ht="17.25">
      <c r="A163" s="31">
        <f t="shared" si="7"/>
        <v>151</v>
      </c>
      <c r="B163" s="71"/>
      <c r="C163" s="72"/>
      <c r="D163" s="6"/>
      <c r="E163" s="6"/>
      <c r="F163" s="8"/>
      <c r="G163" s="9"/>
      <c r="H163" s="9"/>
      <c r="I163" s="104"/>
      <c r="J163" s="9"/>
      <c r="K163" s="6"/>
      <c r="L163" s="35"/>
    </row>
    <row r="164" spans="1:12" ht="17.25">
      <c r="A164" s="31">
        <f t="shared" si="7"/>
        <v>152</v>
      </c>
      <c r="B164" s="71"/>
      <c r="C164" s="72"/>
      <c r="D164" s="6"/>
      <c r="E164" s="6"/>
      <c r="F164" s="8"/>
      <c r="G164" s="9"/>
      <c r="H164" s="9"/>
      <c r="I164" s="104"/>
      <c r="J164" s="9"/>
      <c r="K164" s="6"/>
      <c r="L164" s="35"/>
    </row>
    <row r="165" spans="1:12" ht="17.25">
      <c r="A165" s="31">
        <f t="shared" si="7"/>
        <v>153</v>
      </c>
      <c r="B165" s="71"/>
      <c r="C165" s="72"/>
      <c r="D165" s="6"/>
      <c r="E165" s="6"/>
      <c r="F165" s="8"/>
      <c r="G165" s="9"/>
      <c r="H165" s="9"/>
      <c r="I165" s="104"/>
      <c r="J165" s="9"/>
      <c r="K165" s="6"/>
      <c r="L165" s="35"/>
    </row>
    <row r="166" spans="1:12" ht="17.25">
      <c r="A166" s="31">
        <f t="shared" si="7"/>
        <v>154</v>
      </c>
      <c r="B166" s="71"/>
      <c r="C166" s="72"/>
      <c r="D166" s="6"/>
      <c r="E166" s="6"/>
      <c r="F166" s="8"/>
      <c r="G166" s="9"/>
      <c r="H166" s="9"/>
      <c r="I166" s="104"/>
      <c r="J166" s="9"/>
      <c r="K166" s="6"/>
      <c r="L166" s="35"/>
    </row>
    <row r="167" spans="1:12" ht="17.25">
      <c r="A167" s="31">
        <f t="shared" si="7"/>
        <v>155</v>
      </c>
      <c r="B167" s="71"/>
      <c r="C167" s="72"/>
      <c r="D167" s="6"/>
      <c r="E167" s="6"/>
      <c r="F167" s="8"/>
      <c r="G167" s="9"/>
      <c r="H167" s="9"/>
      <c r="I167" s="104"/>
      <c r="J167" s="9"/>
      <c r="K167" s="6"/>
      <c r="L167" s="35"/>
    </row>
    <row r="168" spans="1:12" ht="17.25">
      <c r="A168" s="31">
        <f t="shared" si="7"/>
        <v>156</v>
      </c>
      <c r="B168" s="71"/>
      <c r="C168" s="72"/>
      <c r="D168" s="6"/>
      <c r="E168" s="6"/>
      <c r="F168" s="8"/>
      <c r="G168" s="9"/>
      <c r="H168" s="9"/>
      <c r="I168" s="104"/>
      <c r="J168" s="9"/>
      <c r="K168" s="6"/>
      <c r="L168" s="35"/>
    </row>
    <row r="169" spans="1:12" ht="17.25">
      <c r="A169" s="31">
        <f t="shared" si="7"/>
        <v>157</v>
      </c>
      <c r="B169" s="71"/>
      <c r="C169" s="72"/>
      <c r="D169" s="6"/>
      <c r="E169" s="6"/>
      <c r="F169" s="8"/>
      <c r="G169" s="9"/>
      <c r="H169" s="9"/>
      <c r="I169" s="104"/>
      <c r="J169" s="9"/>
      <c r="K169" s="6"/>
      <c r="L169" s="35"/>
    </row>
    <row r="170" spans="1:12" ht="17.25">
      <c r="A170" s="31">
        <f t="shared" si="7"/>
        <v>158</v>
      </c>
      <c r="B170" s="71"/>
      <c r="C170" s="72"/>
      <c r="D170" s="6"/>
      <c r="E170" s="6"/>
      <c r="F170" s="8"/>
      <c r="G170" s="9"/>
      <c r="H170" s="9"/>
      <c r="I170" s="104"/>
      <c r="J170" s="9"/>
      <c r="K170" s="6"/>
      <c r="L170" s="35"/>
    </row>
    <row r="171" spans="1:12" ht="17.25">
      <c r="A171" s="31">
        <f t="shared" si="7"/>
        <v>159</v>
      </c>
      <c r="B171" s="71"/>
      <c r="C171" s="72"/>
      <c r="D171" s="6"/>
      <c r="E171" s="6"/>
      <c r="F171" s="8"/>
      <c r="G171" s="9"/>
      <c r="H171" s="9"/>
      <c r="I171" s="104"/>
      <c r="J171" s="9"/>
      <c r="K171" s="6"/>
      <c r="L171" s="35"/>
    </row>
    <row r="172" spans="1:12" ht="17.25">
      <c r="A172" s="31">
        <f t="shared" si="7"/>
        <v>160</v>
      </c>
      <c r="B172" s="71"/>
      <c r="C172" s="72"/>
      <c r="D172" s="6"/>
      <c r="E172" s="6"/>
      <c r="F172" s="8"/>
      <c r="G172" s="9"/>
      <c r="H172" s="9"/>
      <c r="I172" s="104"/>
      <c r="J172" s="9"/>
      <c r="K172" s="6"/>
      <c r="L172" s="35"/>
    </row>
    <row r="173" spans="1:12" ht="17.25">
      <c r="A173" s="31">
        <f aca="true" t="shared" si="8" ref="A173:A204">A172+1</f>
        <v>161</v>
      </c>
      <c r="B173" s="71"/>
      <c r="C173" s="72"/>
      <c r="D173" s="6"/>
      <c r="E173" s="6"/>
      <c r="F173" s="8"/>
      <c r="G173" s="9"/>
      <c r="H173" s="9"/>
      <c r="I173" s="104"/>
      <c r="J173" s="9"/>
      <c r="K173" s="6"/>
      <c r="L173" s="35"/>
    </row>
    <row r="174" spans="1:12" ht="17.25">
      <c r="A174" s="31">
        <f t="shared" si="8"/>
        <v>162</v>
      </c>
      <c r="B174" s="71"/>
      <c r="C174" s="72"/>
      <c r="D174" s="6"/>
      <c r="E174" s="6"/>
      <c r="F174" s="8"/>
      <c r="G174" s="9"/>
      <c r="H174" s="9"/>
      <c r="I174" s="104"/>
      <c r="J174" s="9"/>
      <c r="K174" s="6"/>
      <c r="L174" s="35"/>
    </row>
    <row r="175" spans="1:12" ht="17.25">
      <c r="A175" s="31">
        <f t="shared" si="8"/>
        <v>163</v>
      </c>
      <c r="B175" s="71"/>
      <c r="C175" s="72"/>
      <c r="D175" s="6"/>
      <c r="E175" s="6"/>
      <c r="F175" s="8"/>
      <c r="G175" s="9"/>
      <c r="H175" s="9"/>
      <c r="I175" s="104"/>
      <c r="J175" s="9"/>
      <c r="K175" s="6"/>
      <c r="L175" s="35"/>
    </row>
    <row r="176" spans="1:12" ht="17.25">
      <c r="A176" s="31">
        <f t="shared" si="8"/>
        <v>164</v>
      </c>
      <c r="B176" s="71"/>
      <c r="C176" s="72"/>
      <c r="D176" s="6"/>
      <c r="E176" s="6"/>
      <c r="F176" s="8"/>
      <c r="G176" s="9"/>
      <c r="H176" s="9"/>
      <c r="I176" s="104"/>
      <c r="J176" s="9"/>
      <c r="K176" s="6"/>
      <c r="L176" s="35"/>
    </row>
    <row r="177" spans="1:12" ht="17.25">
      <c r="A177" s="31">
        <f t="shared" si="8"/>
        <v>165</v>
      </c>
      <c r="B177" s="71"/>
      <c r="C177" s="72"/>
      <c r="D177" s="6"/>
      <c r="E177" s="6"/>
      <c r="F177" s="8"/>
      <c r="G177" s="9"/>
      <c r="H177" s="9"/>
      <c r="I177" s="104"/>
      <c r="J177" s="9"/>
      <c r="K177" s="6"/>
      <c r="L177" s="35"/>
    </row>
    <row r="178" spans="1:12" ht="17.25">
      <c r="A178" s="31">
        <f t="shared" si="8"/>
        <v>166</v>
      </c>
      <c r="B178" s="71"/>
      <c r="C178" s="72"/>
      <c r="D178" s="6"/>
      <c r="E178" s="6"/>
      <c r="F178" s="8"/>
      <c r="G178" s="9"/>
      <c r="H178" s="9"/>
      <c r="I178" s="104"/>
      <c r="J178" s="9"/>
      <c r="K178" s="6"/>
      <c r="L178" s="35"/>
    </row>
    <row r="179" spans="1:12" ht="17.25">
      <c r="A179" s="31">
        <f t="shared" si="8"/>
        <v>167</v>
      </c>
      <c r="B179" s="71"/>
      <c r="C179" s="72"/>
      <c r="D179" s="6"/>
      <c r="E179" s="6"/>
      <c r="F179" s="8"/>
      <c r="G179" s="9"/>
      <c r="H179" s="9"/>
      <c r="I179" s="104"/>
      <c r="J179" s="9"/>
      <c r="K179" s="6"/>
      <c r="L179" s="35"/>
    </row>
    <row r="180" spans="1:12" ht="17.25">
      <c r="A180" s="31">
        <f t="shared" si="8"/>
        <v>168</v>
      </c>
      <c r="B180" s="71"/>
      <c r="C180" s="72"/>
      <c r="D180" s="6"/>
      <c r="E180" s="6"/>
      <c r="F180" s="8"/>
      <c r="G180" s="9"/>
      <c r="H180" s="9"/>
      <c r="I180" s="104"/>
      <c r="J180" s="9"/>
      <c r="K180" s="6"/>
      <c r="L180" s="35"/>
    </row>
    <row r="181" spans="1:12" ht="17.25">
      <c r="A181" s="31">
        <f t="shared" si="8"/>
        <v>169</v>
      </c>
      <c r="B181" s="71"/>
      <c r="C181" s="72"/>
      <c r="D181" s="6"/>
      <c r="E181" s="6"/>
      <c r="F181" s="8"/>
      <c r="G181" s="9"/>
      <c r="H181" s="9"/>
      <c r="I181" s="104"/>
      <c r="J181" s="9"/>
      <c r="K181" s="6"/>
      <c r="L181" s="35"/>
    </row>
    <row r="182" spans="1:12" ht="17.25">
      <c r="A182" s="31">
        <f t="shared" si="8"/>
        <v>170</v>
      </c>
      <c r="B182" s="71"/>
      <c r="C182" s="72"/>
      <c r="D182" s="6"/>
      <c r="E182" s="6"/>
      <c r="F182" s="8"/>
      <c r="G182" s="9"/>
      <c r="H182" s="9"/>
      <c r="I182" s="104"/>
      <c r="J182" s="9"/>
      <c r="K182" s="6"/>
      <c r="L182" s="35"/>
    </row>
    <row r="183" spans="1:12" ht="17.25">
      <c r="A183" s="31">
        <f t="shared" si="8"/>
        <v>171</v>
      </c>
      <c r="B183" s="71"/>
      <c r="C183" s="72"/>
      <c r="D183" s="6"/>
      <c r="E183" s="6"/>
      <c r="F183" s="8"/>
      <c r="G183" s="9"/>
      <c r="H183" s="9"/>
      <c r="I183" s="104"/>
      <c r="J183" s="9"/>
      <c r="K183" s="6"/>
      <c r="L183" s="35"/>
    </row>
    <row r="184" spans="1:12" ht="17.25">
      <c r="A184" s="31">
        <f t="shared" si="8"/>
        <v>172</v>
      </c>
      <c r="B184" s="71"/>
      <c r="C184" s="72"/>
      <c r="D184" s="6"/>
      <c r="E184" s="6"/>
      <c r="F184" s="6"/>
      <c r="G184" s="9"/>
      <c r="H184" s="9"/>
      <c r="I184" s="104"/>
      <c r="J184" s="9"/>
      <c r="K184" s="6"/>
      <c r="L184" s="35"/>
    </row>
    <row r="185" spans="1:12" ht="17.25">
      <c r="A185" s="31">
        <f t="shared" si="8"/>
        <v>173</v>
      </c>
      <c r="B185" s="71"/>
      <c r="C185" s="72"/>
      <c r="D185" s="6"/>
      <c r="E185" s="6"/>
      <c r="F185" s="8"/>
      <c r="G185" s="9"/>
      <c r="H185" s="9"/>
      <c r="I185" s="104"/>
      <c r="J185" s="9"/>
      <c r="K185" s="6"/>
      <c r="L185" s="35"/>
    </row>
    <row r="186" spans="1:12" ht="17.25">
      <c r="A186" s="31">
        <f t="shared" si="8"/>
        <v>174</v>
      </c>
      <c r="B186" s="71"/>
      <c r="C186" s="72"/>
      <c r="D186" s="6"/>
      <c r="E186" s="6"/>
      <c r="F186" s="8"/>
      <c r="G186" s="9"/>
      <c r="H186" s="9"/>
      <c r="I186" s="104"/>
      <c r="J186" s="9"/>
      <c r="K186" s="6"/>
      <c r="L186" s="35"/>
    </row>
    <row r="187" spans="1:12" ht="17.25">
      <c r="A187" s="31">
        <f t="shared" si="8"/>
        <v>175</v>
      </c>
      <c r="B187" s="71"/>
      <c r="C187" s="72"/>
      <c r="D187" s="6"/>
      <c r="E187" s="6"/>
      <c r="F187" s="8"/>
      <c r="G187" s="9"/>
      <c r="H187" s="9"/>
      <c r="I187" s="104"/>
      <c r="J187" s="9"/>
      <c r="K187" s="6"/>
      <c r="L187" s="35"/>
    </row>
    <row r="188" spans="1:12" ht="17.25">
      <c r="A188" s="31">
        <f t="shared" si="8"/>
        <v>176</v>
      </c>
      <c r="B188" s="71"/>
      <c r="C188" s="72"/>
      <c r="D188" s="6"/>
      <c r="E188" s="6"/>
      <c r="F188" s="8"/>
      <c r="G188" s="9"/>
      <c r="H188" s="9"/>
      <c r="I188" s="104"/>
      <c r="J188" s="9"/>
      <c r="K188" s="6"/>
      <c r="L188" s="35"/>
    </row>
    <row r="189" spans="1:12" ht="17.25">
      <c r="A189" s="31">
        <f t="shared" si="8"/>
        <v>177</v>
      </c>
      <c r="B189" s="71"/>
      <c r="C189" s="72"/>
      <c r="D189" s="6"/>
      <c r="E189" s="6"/>
      <c r="F189" s="8"/>
      <c r="G189" s="9"/>
      <c r="H189" s="9"/>
      <c r="I189" s="104"/>
      <c r="J189" s="9"/>
      <c r="K189" s="6"/>
      <c r="L189" s="35"/>
    </row>
    <row r="190" spans="1:12" ht="17.25">
      <c r="A190" s="31">
        <f t="shared" si="8"/>
        <v>178</v>
      </c>
      <c r="B190" s="71"/>
      <c r="C190" s="72"/>
      <c r="D190" s="6"/>
      <c r="E190" s="6"/>
      <c r="F190" s="8"/>
      <c r="G190" s="9"/>
      <c r="H190" s="9"/>
      <c r="I190" s="104"/>
      <c r="J190" s="9"/>
      <c r="K190" s="6"/>
      <c r="L190" s="35"/>
    </row>
    <row r="191" spans="1:12" ht="17.25">
      <c r="A191" s="31">
        <f t="shared" si="8"/>
        <v>179</v>
      </c>
      <c r="B191" s="71"/>
      <c r="C191" s="72"/>
      <c r="D191" s="6"/>
      <c r="E191" s="6"/>
      <c r="F191" s="8"/>
      <c r="G191" s="9"/>
      <c r="H191" s="9"/>
      <c r="I191" s="104"/>
      <c r="J191" s="9"/>
      <c r="K191" s="6"/>
      <c r="L191" s="35"/>
    </row>
    <row r="192" spans="1:12" ht="17.25">
      <c r="A192" s="31">
        <f t="shared" si="8"/>
        <v>180</v>
      </c>
      <c r="B192" s="71"/>
      <c r="C192" s="72"/>
      <c r="D192" s="6"/>
      <c r="E192" s="6"/>
      <c r="F192" s="8"/>
      <c r="G192" s="9"/>
      <c r="H192" s="9"/>
      <c r="I192" s="9"/>
      <c r="J192" s="9"/>
      <c r="K192" s="6"/>
      <c r="L192" s="35"/>
    </row>
    <row r="193" spans="1:12" ht="17.25">
      <c r="A193" s="31">
        <f t="shared" si="8"/>
        <v>181</v>
      </c>
      <c r="B193" s="71"/>
      <c r="C193" s="72"/>
      <c r="D193" s="6"/>
      <c r="E193" s="6"/>
      <c r="F193" s="8"/>
      <c r="G193" s="9"/>
      <c r="H193" s="9"/>
      <c r="I193" s="9"/>
      <c r="J193" s="9"/>
      <c r="K193" s="6"/>
      <c r="L193" s="35"/>
    </row>
    <row r="194" spans="1:12" ht="17.25">
      <c r="A194" s="31">
        <f t="shared" si="8"/>
        <v>182</v>
      </c>
      <c r="B194" s="71"/>
      <c r="C194" s="72"/>
      <c r="D194" s="6"/>
      <c r="E194" s="6"/>
      <c r="F194" s="8"/>
      <c r="G194" s="9"/>
      <c r="H194" s="9"/>
      <c r="I194" s="9"/>
      <c r="J194" s="9"/>
      <c r="K194" s="6"/>
      <c r="L194" s="35"/>
    </row>
    <row r="195" spans="1:12" ht="17.25">
      <c r="A195" s="31">
        <f t="shared" si="8"/>
        <v>183</v>
      </c>
      <c r="B195" s="71"/>
      <c r="C195" s="72"/>
      <c r="D195" s="6"/>
      <c r="E195" s="6"/>
      <c r="F195" s="8"/>
      <c r="G195" s="9"/>
      <c r="H195" s="9"/>
      <c r="I195" s="9"/>
      <c r="J195" s="9"/>
      <c r="K195" s="6"/>
      <c r="L195" s="35"/>
    </row>
    <row r="196" spans="1:12" ht="17.25">
      <c r="A196" s="31">
        <f t="shared" si="8"/>
        <v>184</v>
      </c>
      <c r="B196" s="71"/>
      <c r="C196" s="72"/>
      <c r="D196" s="6"/>
      <c r="E196" s="6"/>
      <c r="F196" s="8"/>
      <c r="G196" s="9"/>
      <c r="H196" s="9"/>
      <c r="I196" s="9"/>
      <c r="J196" s="9"/>
      <c r="K196" s="6"/>
      <c r="L196" s="35"/>
    </row>
    <row r="197" spans="1:12" ht="17.25">
      <c r="A197" s="31">
        <f t="shared" si="8"/>
        <v>185</v>
      </c>
      <c r="B197" s="71"/>
      <c r="C197" s="72"/>
      <c r="D197" s="6"/>
      <c r="E197" s="6"/>
      <c r="F197" s="8"/>
      <c r="G197" s="9"/>
      <c r="H197" s="9"/>
      <c r="I197" s="9"/>
      <c r="J197" s="9"/>
      <c r="K197" s="6"/>
      <c r="L197" s="35"/>
    </row>
    <row r="198" spans="1:12" ht="17.25">
      <c r="A198" s="31">
        <f t="shared" si="8"/>
        <v>186</v>
      </c>
      <c r="B198" s="71"/>
      <c r="C198" s="72"/>
      <c r="D198" s="6"/>
      <c r="E198" s="6"/>
      <c r="F198" s="8"/>
      <c r="G198" s="9"/>
      <c r="H198" s="9"/>
      <c r="I198" s="9"/>
      <c r="J198" s="9"/>
      <c r="K198" s="6"/>
      <c r="L198" s="35"/>
    </row>
    <row r="199" spans="1:12" ht="17.25">
      <c r="A199" s="31">
        <f t="shared" si="8"/>
        <v>187</v>
      </c>
      <c r="B199" s="71"/>
      <c r="C199" s="72"/>
      <c r="D199" s="6"/>
      <c r="E199" s="6"/>
      <c r="F199" s="8"/>
      <c r="G199" s="9"/>
      <c r="H199" s="9"/>
      <c r="I199" s="9"/>
      <c r="J199" s="9"/>
      <c r="K199" s="6"/>
      <c r="L199" s="35"/>
    </row>
    <row r="200" spans="1:12" ht="17.25">
      <c r="A200" s="31">
        <f t="shared" si="8"/>
        <v>188</v>
      </c>
      <c r="B200" s="71"/>
      <c r="C200" s="72"/>
      <c r="D200" s="6"/>
      <c r="E200" s="6"/>
      <c r="F200" s="8"/>
      <c r="G200" s="9"/>
      <c r="H200" s="9"/>
      <c r="I200" s="9"/>
      <c r="J200" s="9"/>
      <c r="K200" s="6"/>
      <c r="L200" s="35"/>
    </row>
    <row r="201" spans="1:12" ht="17.25">
      <c r="A201" s="31">
        <f t="shared" si="8"/>
        <v>189</v>
      </c>
      <c r="B201" s="71"/>
      <c r="C201" s="72"/>
      <c r="D201" s="6"/>
      <c r="E201" s="6"/>
      <c r="F201" s="8"/>
      <c r="G201" s="9"/>
      <c r="H201" s="9"/>
      <c r="I201" s="9"/>
      <c r="J201" s="9"/>
      <c r="K201" s="6"/>
      <c r="L201" s="35"/>
    </row>
    <row r="202" spans="1:12" ht="17.25">
      <c r="A202" s="31">
        <f t="shared" si="8"/>
        <v>190</v>
      </c>
      <c r="B202" s="71"/>
      <c r="C202" s="72"/>
      <c r="D202" s="6"/>
      <c r="E202" s="6"/>
      <c r="F202" s="8"/>
      <c r="G202" s="9"/>
      <c r="H202" s="9"/>
      <c r="I202" s="9"/>
      <c r="J202" s="9"/>
      <c r="K202" s="6"/>
      <c r="L202" s="35"/>
    </row>
    <row r="203" spans="1:12" ht="17.25">
      <c r="A203" s="31">
        <f t="shared" si="8"/>
        <v>191</v>
      </c>
      <c r="B203" s="71"/>
      <c r="C203" s="72"/>
      <c r="D203" s="6"/>
      <c r="E203" s="6"/>
      <c r="F203" s="8"/>
      <c r="G203" s="9"/>
      <c r="H203" s="9"/>
      <c r="I203" s="9"/>
      <c r="J203" s="9"/>
      <c r="K203" s="6"/>
      <c r="L203" s="35"/>
    </row>
    <row r="204" spans="1:12" ht="17.25">
      <c r="A204" s="31">
        <f t="shared" si="8"/>
        <v>192</v>
      </c>
      <c r="B204" s="71"/>
      <c r="C204" s="72"/>
      <c r="D204" s="6"/>
      <c r="E204" s="6"/>
      <c r="F204" s="8"/>
      <c r="G204" s="9"/>
      <c r="H204" s="9"/>
      <c r="I204" s="9"/>
      <c r="J204" s="9"/>
      <c r="K204" s="6"/>
      <c r="L204" s="35"/>
    </row>
    <row r="205" spans="1:12" ht="17.25">
      <c r="A205" s="31">
        <f aca="true" t="shared" si="9" ref="A205:A212">A204+1</f>
        <v>193</v>
      </c>
      <c r="B205" s="71"/>
      <c r="C205" s="72"/>
      <c r="D205" s="6"/>
      <c r="E205" s="6"/>
      <c r="F205" s="8"/>
      <c r="G205" s="9"/>
      <c r="H205" s="9"/>
      <c r="I205" s="9"/>
      <c r="J205" s="9"/>
      <c r="K205" s="9"/>
      <c r="L205" s="35"/>
    </row>
    <row r="206" spans="1:12" ht="17.25">
      <c r="A206" s="31">
        <f t="shared" si="9"/>
        <v>194</v>
      </c>
      <c r="B206" s="71"/>
      <c r="C206" s="72"/>
      <c r="D206" s="6"/>
      <c r="E206" s="6"/>
      <c r="F206" s="8"/>
      <c r="G206" s="9"/>
      <c r="H206" s="9"/>
      <c r="I206" s="9"/>
      <c r="J206" s="9"/>
      <c r="K206" s="9"/>
      <c r="L206" s="35"/>
    </row>
    <row r="207" spans="1:12" ht="17.25">
      <c r="A207" s="31">
        <f t="shared" si="9"/>
        <v>195</v>
      </c>
      <c r="B207" s="71"/>
      <c r="C207" s="72"/>
      <c r="D207" s="6"/>
      <c r="E207" s="6"/>
      <c r="F207" s="8"/>
      <c r="G207" s="9"/>
      <c r="H207" s="9"/>
      <c r="I207" s="9"/>
      <c r="J207" s="9"/>
      <c r="K207" s="9"/>
      <c r="L207" s="35"/>
    </row>
    <row r="208" spans="1:12" ht="17.25">
      <c r="A208" s="31">
        <f t="shared" si="9"/>
        <v>196</v>
      </c>
      <c r="B208" s="71"/>
      <c r="C208" s="72"/>
      <c r="D208" s="6"/>
      <c r="E208" s="6"/>
      <c r="F208" s="8"/>
      <c r="G208" s="9"/>
      <c r="H208" s="9"/>
      <c r="I208" s="9"/>
      <c r="J208" s="9"/>
      <c r="K208" s="9"/>
      <c r="L208" s="35"/>
    </row>
    <row r="209" spans="1:12" ht="17.25">
      <c r="A209" s="31">
        <f t="shared" si="9"/>
        <v>197</v>
      </c>
      <c r="B209" s="71"/>
      <c r="C209" s="72"/>
      <c r="D209" s="6"/>
      <c r="E209" s="6"/>
      <c r="F209" s="8"/>
      <c r="G209" s="9"/>
      <c r="H209" s="9"/>
      <c r="I209" s="9"/>
      <c r="J209" s="9"/>
      <c r="K209" s="9"/>
      <c r="L209" s="35"/>
    </row>
    <row r="210" spans="1:12" ht="17.25">
      <c r="A210" s="31">
        <f t="shared" si="9"/>
        <v>198</v>
      </c>
      <c r="B210" s="71"/>
      <c r="C210" s="72"/>
      <c r="D210" s="6"/>
      <c r="E210" s="6"/>
      <c r="F210" s="8"/>
      <c r="G210" s="9"/>
      <c r="H210" s="9"/>
      <c r="I210" s="9"/>
      <c r="J210" s="9"/>
      <c r="K210" s="9"/>
      <c r="L210" s="35"/>
    </row>
    <row r="211" spans="1:12" ht="17.25">
      <c r="A211" s="31">
        <f t="shared" si="9"/>
        <v>199</v>
      </c>
      <c r="B211" s="71"/>
      <c r="C211" s="72"/>
      <c r="D211" s="6"/>
      <c r="E211" s="6"/>
      <c r="F211" s="8"/>
      <c r="G211" s="9"/>
      <c r="H211" s="9"/>
      <c r="I211" s="9"/>
      <c r="J211" s="9"/>
      <c r="K211" s="9"/>
      <c r="L211" s="35"/>
    </row>
    <row r="212" spans="1:12" ht="17.25">
      <c r="A212" s="31">
        <f t="shared" si="9"/>
        <v>200</v>
      </c>
      <c r="B212" s="76"/>
      <c r="C212" s="77"/>
      <c r="D212" s="4"/>
      <c r="E212" s="4"/>
      <c r="F212" s="54"/>
      <c r="G212" s="4"/>
      <c r="H212" s="4"/>
      <c r="I212" s="4"/>
      <c r="J212" s="4"/>
      <c r="K212" s="4"/>
      <c r="L212" s="55"/>
    </row>
    <row r="213" spans="1:12" ht="17.25">
      <c r="A213" s="56" t="s">
        <v>217</v>
      </c>
      <c r="B213" s="57"/>
      <c r="C213" s="58"/>
      <c r="D213" s="58"/>
      <c r="E213" s="58"/>
      <c r="F213" s="59"/>
      <c r="G213" s="60"/>
      <c r="H213" s="60"/>
      <c r="I213" s="60"/>
      <c r="J213" s="60"/>
      <c r="K213" s="60"/>
      <c r="L213" s="60"/>
    </row>
  </sheetData>
  <sheetProtection/>
  <printOptions/>
  <pageMargins left="0.787" right="0.787" top="0.984" bottom="0.984"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2:I47"/>
  <sheetViews>
    <sheetView zoomScalePageLayoutView="0" workbookViewId="0" topLeftCell="A1">
      <selection activeCell="A4" sqref="A4"/>
    </sheetView>
  </sheetViews>
  <sheetFormatPr defaultColWidth="8.66015625" defaultRowHeight="18"/>
  <cols>
    <col min="1" max="1" width="13" style="0" bestFit="1" customWidth="1"/>
    <col min="2" max="2" width="6.66015625" style="0" customWidth="1"/>
    <col min="3" max="4" width="3.91015625" style="0" customWidth="1"/>
    <col min="5" max="5" width="11.58203125" style="0" customWidth="1"/>
  </cols>
  <sheetData>
    <row r="2" spans="2:9" ht="17.25">
      <c r="B2" s="18" t="s">
        <v>4</v>
      </c>
      <c r="F2" s="32" t="s">
        <v>289</v>
      </c>
      <c r="G2" s="113" t="s">
        <v>290</v>
      </c>
      <c r="H2" s="113"/>
      <c r="I2" s="113"/>
    </row>
    <row r="3" spans="1:9" ht="18" thickBot="1">
      <c r="A3" s="91" t="s">
        <v>6</v>
      </c>
      <c r="B3" s="91" t="s">
        <v>1</v>
      </c>
      <c r="C3" s="91" t="s">
        <v>2</v>
      </c>
      <c r="D3" s="91" t="s">
        <v>5</v>
      </c>
      <c r="F3" s="91" t="s">
        <v>291</v>
      </c>
      <c r="G3" s="91" t="s">
        <v>292</v>
      </c>
      <c r="H3" s="91" t="s">
        <v>293</v>
      </c>
      <c r="I3" s="91" t="s">
        <v>294</v>
      </c>
    </row>
    <row r="4" spans="1:5" ht="18" thickBot="1">
      <c r="A4" s="95" t="s">
        <v>220</v>
      </c>
      <c r="B4">
        <f>VLOOKUP($A4,'対象指定ﾃﾞｰﾀ'!$B$12:$F$468,2,FALSE)</f>
        <v>1968</v>
      </c>
      <c r="C4">
        <f>VLOOKUP($A4,'対象指定ﾃﾞｰﾀ'!$B$12:$F$468,3,FALSE)</f>
        <v>8</v>
      </c>
      <c r="D4">
        <f>VLOOKUP($A4,'対象指定ﾃﾞｰﾀ'!$B$12:$F$468,4,FALSE)</f>
        <v>22</v>
      </c>
      <c r="E4" s="92">
        <f aca="true" t="shared" si="0" ref="E4:E24">DATE(B4,C4,D4)</f>
        <v>25072</v>
      </c>
    </row>
    <row r="5" spans="1:9" ht="17.25">
      <c r="A5" t="s">
        <v>296</v>
      </c>
      <c r="B5">
        <f>VLOOKUP($A5,'対象指定ﾃﾞｰﾀ'!$B$12:$F$468,2,FALSE)</f>
        <v>1958</v>
      </c>
      <c r="C5">
        <f>VLOOKUP($A5,'対象指定ﾃﾞｰﾀ'!$B$12:$F$468,3,FALSE)</f>
        <v>2</v>
      </c>
      <c r="D5">
        <f>VLOOKUP($A5,'対象指定ﾃﾞｰﾀ'!$B$12:$F$468,4,FALSE)</f>
        <v>20</v>
      </c>
      <c r="E5" s="39">
        <f t="shared" si="0"/>
        <v>21236</v>
      </c>
      <c r="F5" s="93">
        <f>$E$4-E5</f>
        <v>3836</v>
      </c>
      <c r="G5" s="94">
        <f>1-MIN(23-MOD($F5,23),MOD($F5,23))/(23/2)</f>
        <v>0.5652173913043479</v>
      </c>
      <c r="H5" s="94">
        <f>1-MIN(28-MOD($F5,28),MOD($F5,28))/(28/2)</f>
        <v>1</v>
      </c>
      <c r="I5" s="94">
        <f>1-MIN(33-MOD($F5,33),MOD($F5,33))/(33/2)</f>
        <v>0.5151515151515151</v>
      </c>
    </row>
    <row r="6" spans="1:9" ht="17.25">
      <c r="A6" t="s">
        <v>165</v>
      </c>
      <c r="B6">
        <f>VLOOKUP($A6,'対象指定ﾃﾞｰﾀ'!$B$12:$F$468,2,FALSE)</f>
        <v>1976</v>
      </c>
      <c r="C6">
        <f>VLOOKUP($A6,'対象指定ﾃﾞｰﾀ'!$B$12:$F$468,3,FALSE)</f>
        <v>12</v>
      </c>
      <c r="D6">
        <f>VLOOKUP($A6,'対象指定ﾃﾞｰﾀ'!$B$12:$F$468,4,FALSE)</f>
        <v>16</v>
      </c>
      <c r="E6" s="39">
        <f>DATE(B6,C6,D6)</f>
        <v>28110</v>
      </c>
      <c r="F6" s="93">
        <f aca="true" t="shared" si="1" ref="F6:F24">$E$4-E6</f>
        <v>-3038</v>
      </c>
      <c r="G6" s="94">
        <f aca="true" t="shared" si="2" ref="G6:G24">1-MIN(23-MOD($F6,23),MOD($F6,23))/(23/2)</f>
        <v>0.8260869565217391</v>
      </c>
      <c r="H6" s="94">
        <f aca="true" t="shared" si="3" ref="H6:H24">1-MIN(28-MOD($F6,28),MOD($F6,28))/(28/2)</f>
        <v>0</v>
      </c>
      <c r="I6" s="94">
        <f aca="true" t="shared" si="4" ref="I6:I24">1-MIN(33-MOD($F6,33),MOD($F6,33))/(33/2)</f>
        <v>0.8787878787878788</v>
      </c>
    </row>
    <row r="7" spans="1:9" ht="17.25">
      <c r="A7" t="s">
        <v>299</v>
      </c>
      <c r="B7">
        <f>VLOOKUP($A7,'対象指定ﾃﾞｰﾀ'!$B$12:$F$468,2,FALSE)</f>
        <v>1964</v>
      </c>
      <c r="C7">
        <f>VLOOKUP($A7,'対象指定ﾃﾞｰﾀ'!$B$12:$F$468,3,FALSE)</f>
        <v>11</v>
      </c>
      <c r="D7">
        <f>VLOOKUP($A7,'対象指定ﾃﾞｰﾀ'!$B$12:$F$468,4,FALSE)</f>
        <v>16</v>
      </c>
      <c r="E7" s="39">
        <f t="shared" si="0"/>
        <v>23697</v>
      </c>
      <c r="F7" s="93">
        <f t="shared" si="1"/>
        <v>1375</v>
      </c>
      <c r="G7" s="94">
        <f t="shared" si="2"/>
        <v>0.5652173913043479</v>
      </c>
      <c r="H7" s="94">
        <f t="shared" si="3"/>
        <v>0.7857142857142857</v>
      </c>
      <c r="I7" s="94">
        <f t="shared" si="4"/>
        <v>0.33333333333333337</v>
      </c>
    </row>
    <row r="8" spans="1:9" ht="17.25">
      <c r="A8" t="s">
        <v>308</v>
      </c>
      <c r="B8">
        <f>VLOOKUP($A8,'対象指定ﾃﾞｰﾀ'!$B$12:$F$468,2,FALSE)</f>
        <v>1961</v>
      </c>
      <c r="C8">
        <f>VLOOKUP($A8,'対象指定ﾃﾞｰﾀ'!$B$12:$F$468,3,FALSE)</f>
        <v>8</v>
      </c>
      <c r="D8">
        <f>VLOOKUP($A8,'対象指定ﾃﾞｰﾀ'!$B$12:$F$468,4,FALSE)</f>
        <v>4</v>
      </c>
      <c r="E8" s="39">
        <f t="shared" si="0"/>
        <v>22497</v>
      </c>
      <c r="F8" s="93">
        <f t="shared" si="1"/>
        <v>2575</v>
      </c>
      <c r="G8" s="94">
        <f t="shared" si="2"/>
        <v>0.9130434782608696</v>
      </c>
      <c r="H8" s="94">
        <f t="shared" si="3"/>
        <v>0.9285714285714286</v>
      </c>
      <c r="I8" s="94">
        <f t="shared" si="4"/>
        <v>0.9393939393939394</v>
      </c>
    </row>
    <row r="9" spans="2:9" ht="17.25">
      <c r="B9" t="e">
        <f>VLOOKUP($A9,'対象指定ﾃﾞｰﾀ'!$B$12:$F$468,2,FALSE)</f>
        <v>#N/A</v>
      </c>
      <c r="C9" t="e">
        <f>VLOOKUP($A9,'対象指定ﾃﾞｰﾀ'!$B$12:$F$468,3,FALSE)</f>
        <v>#N/A</v>
      </c>
      <c r="D9" t="e">
        <f>VLOOKUP($A9,'対象指定ﾃﾞｰﾀ'!$B$12:$F$468,4,FALSE)</f>
        <v>#N/A</v>
      </c>
      <c r="E9" s="39" t="e">
        <f t="shared" si="0"/>
        <v>#N/A</v>
      </c>
      <c r="F9" s="93" t="e">
        <f t="shared" si="1"/>
        <v>#N/A</v>
      </c>
      <c r="G9" s="94" t="e">
        <f t="shared" si="2"/>
        <v>#N/A</v>
      </c>
      <c r="H9" s="94" t="e">
        <f t="shared" si="3"/>
        <v>#N/A</v>
      </c>
      <c r="I9" s="94" t="e">
        <f t="shared" si="4"/>
        <v>#N/A</v>
      </c>
    </row>
    <row r="10" spans="2:9" ht="17.25">
      <c r="B10" t="e">
        <f>VLOOKUP($A10,'対象指定ﾃﾞｰﾀ'!$B$12:$F$468,2,FALSE)</f>
        <v>#N/A</v>
      </c>
      <c r="C10" t="e">
        <f>VLOOKUP($A10,'対象指定ﾃﾞｰﾀ'!$B$12:$F$468,3,FALSE)</f>
        <v>#N/A</v>
      </c>
      <c r="D10" t="e">
        <f>VLOOKUP($A10,'対象指定ﾃﾞｰﾀ'!$B$12:$F$468,4,FALSE)</f>
        <v>#N/A</v>
      </c>
      <c r="E10" s="39" t="e">
        <f t="shared" si="0"/>
        <v>#N/A</v>
      </c>
      <c r="F10" s="93" t="e">
        <f t="shared" si="1"/>
        <v>#N/A</v>
      </c>
      <c r="G10" s="94" t="e">
        <f t="shared" si="2"/>
        <v>#N/A</v>
      </c>
      <c r="H10" s="94" t="e">
        <f t="shared" si="3"/>
        <v>#N/A</v>
      </c>
      <c r="I10" s="94" t="e">
        <f t="shared" si="4"/>
        <v>#N/A</v>
      </c>
    </row>
    <row r="11" spans="2:9" ht="17.25">
      <c r="B11" t="e">
        <f>VLOOKUP($A11,'対象指定ﾃﾞｰﾀ'!$B$12:$F$468,2,FALSE)</f>
        <v>#N/A</v>
      </c>
      <c r="C11" t="e">
        <f>VLOOKUP($A11,'対象指定ﾃﾞｰﾀ'!$B$12:$F$468,3,FALSE)</f>
        <v>#N/A</v>
      </c>
      <c r="D11" t="e">
        <f>VLOOKUP($A11,'対象指定ﾃﾞｰﾀ'!$B$12:$F$468,4,FALSE)</f>
        <v>#N/A</v>
      </c>
      <c r="E11" s="39" t="e">
        <f t="shared" si="0"/>
        <v>#N/A</v>
      </c>
      <c r="F11" s="93" t="e">
        <f t="shared" si="1"/>
        <v>#N/A</v>
      </c>
      <c r="G11" s="94" t="e">
        <f t="shared" si="2"/>
        <v>#N/A</v>
      </c>
      <c r="H11" s="94" t="e">
        <f t="shared" si="3"/>
        <v>#N/A</v>
      </c>
      <c r="I11" s="94" t="e">
        <f t="shared" si="4"/>
        <v>#N/A</v>
      </c>
    </row>
    <row r="12" spans="2:9" ht="17.25">
      <c r="B12" t="e">
        <f>VLOOKUP($A12,'対象指定ﾃﾞｰﾀ'!$B$12:$F$468,2,FALSE)</f>
        <v>#N/A</v>
      </c>
      <c r="C12" t="e">
        <f>VLOOKUP($A12,'対象指定ﾃﾞｰﾀ'!$B$12:$F$468,3,FALSE)</f>
        <v>#N/A</v>
      </c>
      <c r="D12" t="e">
        <f>VLOOKUP($A12,'対象指定ﾃﾞｰﾀ'!$B$12:$F$468,4,FALSE)</f>
        <v>#N/A</v>
      </c>
      <c r="E12" s="39" t="e">
        <f t="shared" si="0"/>
        <v>#N/A</v>
      </c>
      <c r="F12" s="93" t="e">
        <f t="shared" si="1"/>
        <v>#N/A</v>
      </c>
      <c r="G12" s="94" t="e">
        <f t="shared" si="2"/>
        <v>#N/A</v>
      </c>
      <c r="H12" s="94" t="e">
        <f t="shared" si="3"/>
        <v>#N/A</v>
      </c>
      <c r="I12" s="94" t="e">
        <f t="shared" si="4"/>
        <v>#N/A</v>
      </c>
    </row>
    <row r="13" spans="2:9" ht="17.25">
      <c r="B13" t="e">
        <f>VLOOKUP($A13,'対象指定ﾃﾞｰﾀ'!$B$12:$F$468,2,FALSE)</f>
        <v>#N/A</v>
      </c>
      <c r="C13" t="e">
        <f>VLOOKUP($A13,'対象指定ﾃﾞｰﾀ'!$B$12:$F$468,3,FALSE)</f>
        <v>#N/A</v>
      </c>
      <c r="D13" t="e">
        <f>VLOOKUP($A13,'対象指定ﾃﾞｰﾀ'!$B$12:$F$468,4,FALSE)</f>
        <v>#N/A</v>
      </c>
      <c r="E13" s="39" t="e">
        <f t="shared" si="0"/>
        <v>#N/A</v>
      </c>
      <c r="F13" s="93" t="e">
        <f t="shared" si="1"/>
        <v>#N/A</v>
      </c>
      <c r="G13" s="94" t="e">
        <f t="shared" si="2"/>
        <v>#N/A</v>
      </c>
      <c r="H13" s="94" t="e">
        <f t="shared" si="3"/>
        <v>#N/A</v>
      </c>
      <c r="I13" s="94" t="e">
        <f t="shared" si="4"/>
        <v>#N/A</v>
      </c>
    </row>
    <row r="14" spans="2:9" ht="17.25">
      <c r="B14" t="e">
        <f>VLOOKUP($A14,'対象指定ﾃﾞｰﾀ'!$B$12:$F$468,2,FALSE)</f>
        <v>#N/A</v>
      </c>
      <c r="C14" t="e">
        <f>VLOOKUP($A14,'対象指定ﾃﾞｰﾀ'!$B$12:$F$468,3,FALSE)</f>
        <v>#N/A</v>
      </c>
      <c r="D14" t="e">
        <f>VLOOKUP($A14,'対象指定ﾃﾞｰﾀ'!$B$12:$F$468,4,FALSE)</f>
        <v>#N/A</v>
      </c>
      <c r="E14" s="39" t="e">
        <f t="shared" si="0"/>
        <v>#N/A</v>
      </c>
      <c r="F14" s="93" t="e">
        <f t="shared" si="1"/>
        <v>#N/A</v>
      </c>
      <c r="G14" s="94" t="e">
        <f t="shared" si="2"/>
        <v>#N/A</v>
      </c>
      <c r="H14" s="94" t="e">
        <f t="shared" si="3"/>
        <v>#N/A</v>
      </c>
      <c r="I14" s="94" t="e">
        <f t="shared" si="4"/>
        <v>#N/A</v>
      </c>
    </row>
    <row r="15" spans="2:9" ht="17.25">
      <c r="B15" t="e">
        <f>VLOOKUP($A15,'対象指定ﾃﾞｰﾀ'!$B$12:$F$468,2,FALSE)</f>
        <v>#N/A</v>
      </c>
      <c r="C15" t="e">
        <f>VLOOKUP($A15,'対象指定ﾃﾞｰﾀ'!$B$12:$F$468,3,FALSE)</f>
        <v>#N/A</v>
      </c>
      <c r="D15" t="e">
        <f>VLOOKUP($A15,'対象指定ﾃﾞｰﾀ'!$B$12:$F$468,4,FALSE)</f>
        <v>#N/A</v>
      </c>
      <c r="E15" s="39" t="e">
        <f t="shared" si="0"/>
        <v>#N/A</v>
      </c>
      <c r="F15" s="93" t="e">
        <f t="shared" si="1"/>
        <v>#N/A</v>
      </c>
      <c r="G15" s="94" t="e">
        <f t="shared" si="2"/>
        <v>#N/A</v>
      </c>
      <c r="H15" s="94" t="e">
        <f t="shared" si="3"/>
        <v>#N/A</v>
      </c>
      <c r="I15" s="94" t="e">
        <f t="shared" si="4"/>
        <v>#N/A</v>
      </c>
    </row>
    <row r="16" spans="2:9" ht="17.25">
      <c r="B16" t="e">
        <f>VLOOKUP($A16,'対象指定ﾃﾞｰﾀ'!$B$12:$F$468,2,FALSE)</f>
        <v>#N/A</v>
      </c>
      <c r="C16" t="e">
        <f>VLOOKUP($A16,'対象指定ﾃﾞｰﾀ'!$B$12:$F$468,3,FALSE)</f>
        <v>#N/A</v>
      </c>
      <c r="D16" t="e">
        <f>VLOOKUP($A16,'対象指定ﾃﾞｰﾀ'!$B$12:$F$468,4,FALSE)</f>
        <v>#N/A</v>
      </c>
      <c r="E16" s="39" t="e">
        <f t="shared" si="0"/>
        <v>#N/A</v>
      </c>
      <c r="F16" s="93" t="e">
        <f t="shared" si="1"/>
        <v>#N/A</v>
      </c>
      <c r="G16" s="94" t="e">
        <f t="shared" si="2"/>
        <v>#N/A</v>
      </c>
      <c r="H16" s="94" t="e">
        <f t="shared" si="3"/>
        <v>#N/A</v>
      </c>
      <c r="I16" s="94" t="e">
        <f t="shared" si="4"/>
        <v>#N/A</v>
      </c>
    </row>
    <row r="17" spans="2:9" ht="17.25">
      <c r="B17" t="e">
        <f>VLOOKUP($A17,'対象指定ﾃﾞｰﾀ'!$B$12:$F$468,2,FALSE)</f>
        <v>#N/A</v>
      </c>
      <c r="C17" t="e">
        <f>VLOOKUP($A17,'対象指定ﾃﾞｰﾀ'!$B$12:$F$468,3,FALSE)</f>
        <v>#N/A</v>
      </c>
      <c r="D17" t="e">
        <f>VLOOKUP($A17,'対象指定ﾃﾞｰﾀ'!$B$12:$F$468,4,FALSE)</f>
        <v>#N/A</v>
      </c>
      <c r="E17" s="39" t="e">
        <f>DATE(B17,C17,D17)</f>
        <v>#N/A</v>
      </c>
      <c r="F17" s="93" t="e">
        <f t="shared" si="1"/>
        <v>#N/A</v>
      </c>
      <c r="G17" s="94" t="e">
        <f t="shared" si="2"/>
        <v>#N/A</v>
      </c>
      <c r="H17" s="94" t="e">
        <f t="shared" si="3"/>
        <v>#N/A</v>
      </c>
      <c r="I17" s="94" t="e">
        <f t="shared" si="4"/>
        <v>#N/A</v>
      </c>
    </row>
    <row r="18" spans="2:9" ht="17.25">
      <c r="B18" t="e">
        <f>VLOOKUP($A18,'対象指定ﾃﾞｰﾀ'!$B$12:$F$468,2,FALSE)</f>
        <v>#N/A</v>
      </c>
      <c r="C18" t="e">
        <f>VLOOKUP($A18,'対象指定ﾃﾞｰﾀ'!$B$12:$F$468,3,FALSE)</f>
        <v>#N/A</v>
      </c>
      <c r="D18" t="e">
        <f>VLOOKUP($A18,'対象指定ﾃﾞｰﾀ'!$B$12:$F$468,4,FALSE)</f>
        <v>#N/A</v>
      </c>
      <c r="E18" s="39" t="e">
        <f>DATE(B18,C18,D18)</f>
        <v>#N/A</v>
      </c>
      <c r="F18" s="93" t="e">
        <f t="shared" si="1"/>
        <v>#N/A</v>
      </c>
      <c r="G18" s="94" t="e">
        <f t="shared" si="2"/>
        <v>#N/A</v>
      </c>
      <c r="H18" s="94" t="e">
        <f t="shared" si="3"/>
        <v>#N/A</v>
      </c>
      <c r="I18" s="94" t="e">
        <f t="shared" si="4"/>
        <v>#N/A</v>
      </c>
    </row>
    <row r="19" spans="2:9" ht="17.25">
      <c r="B19" t="e">
        <f>VLOOKUP($A19,'対象指定ﾃﾞｰﾀ'!$B$12:$F$468,2,FALSE)</f>
        <v>#N/A</v>
      </c>
      <c r="C19" t="e">
        <f>VLOOKUP($A19,'対象指定ﾃﾞｰﾀ'!$B$12:$F$468,3,FALSE)</f>
        <v>#N/A</v>
      </c>
      <c r="D19" t="e">
        <f>VLOOKUP($A19,'対象指定ﾃﾞｰﾀ'!$B$12:$F$468,4,FALSE)</f>
        <v>#N/A</v>
      </c>
      <c r="E19" s="39" t="e">
        <f>DATE(B19,C19,D19)</f>
        <v>#N/A</v>
      </c>
      <c r="F19" s="93" t="e">
        <f t="shared" si="1"/>
        <v>#N/A</v>
      </c>
      <c r="G19" s="94" t="e">
        <f t="shared" si="2"/>
        <v>#N/A</v>
      </c>
      <c r="H19" s="94" t="e">
        <f t="shared" si="3"/>
        <v>#N/A</v>
      </c>
      <c r="I19" s="94" t="e">
        <f t="shared" si="4"/>
        <v>#N/A</v>
      </c>
    </row>
    <row r="20" spans="2:9" ht="17.25">
      <c r="B20" t="e">
        <f>VLOOKUP($A20,'対象指定ﾃﾞｰﾀ'!$B$12:$F$468,2,FALSE)</f>
        <v>#N/A</v>
      </c>
      <c r="C20" t="e">
        <f>VLOOKUP($A20,'対象指定ﾃﾞｰﾀ'!$B$12:$F$468,3,FALSE)</f>
        <v>#N/A</v>
      </c>
      <c r="D20" t="e">
        <f>VLOOKUP($A20,'対象指定ﾃﾞｰﾀ'!$B$12:$F$468,4,FALSE)</f>
        <v>#N/A</v>
      </c>
      <c r="E20" s="39" t="e">
        <f>DATE(B20,C20,D20)</f>
        <v>#N/A</v>
      </c>
      <c r="F20" s="93" t="e">
        <f t="shared" si="1"/>
        <v>#N/A</v>
      </c>
      <c r="G20" s="94" t="e">
        <f t="shared" si="2"/>
        <v>#N/A</v>
      </c>
      <c r="H20" s="94" t="e">
        <f t="shared" si="3"/>
        <v>#N/A</v>
      </c>
      <c r="I20" s="94" t="e">
        <f t="shared" si="4"/>
        <v>#N/A</v>
      </c>
    </row>
    <row r="21" spans="2:9" ht="17.25">
      <c r="B21" t="e">
        <f>VLOOKUP($A21,'対象指定ﾃﾞｰﾀ'!$B$12:$F$468,2,FALSE)</f>
        <v>#N/A</v>
      </c>
      <c r="C21" t="e">
        <f>VLOOKUP($A21,'対象指定ﾃﾞｰﾀ'!$B$12:$F$468,3,FALSE)</f>
        <v>#N/A</v>
      </c>
      <c r="D21" t="e">
        <f>VLOOKUP($A21,'対象指定ﾃﾞｰﾀ'!$B$12:$F$468,4,FALSE)</f>
        <v>#N/A</v>
      </c>
      <c r="E21" s="39" t="e">
        <f t="shared" si="0"/>
        <v>#N/A</v>
      </c>
      <c r="F21" s="93" t="e">
        <f t="shared" si="1"/>
        <v>#N/A</v>
      </c>
      <c r="G21" s="94" t="e">
        <f t="shared" si="2"/>
        <v>#N/A</v>
      </c>
      <c r="H21" s="94" t="e">
        <f t="shared" si="3"/>
        <v>#N/A</v>
      </c>
      <c r="I21" s="94" t="e">
        <f t="shared" si="4"/>
        <v>#N/A</v>
      </c>
    </row>
    <row r="22" spans="2:9" ht="17.25">
      <c r="B22" t="e">
        <f>VLOOKUP($A22,'対象指定ﾃﾞｰﾀ'!$B$12:$F$468,2,FALSE)</f>
        <v>#N/A</v>
      </c>
      <c r="C22" t="e">
        <f>VLOOKUP($A22,'対象指定ﾃﾞｰﾀ'!$B$12:$F$468,3,FALSE)</f>
        <v>#N/A</v>
      </c>
      <c r="D22" t="e">
        <f>VLOOKUP($A22,'対象指定ﾃﾞｰﾀ'!$B$12:$F$468,4,FALSE)</f>
        <v>#N/A</v>
      </c>
      <c r="E22" s="39" t="e">
        <f t="shared" si="0"/>
        <v>#N/A</v>
      </c>
      <c r="F22" s="93" t="e">
        <f t="shared" si="1"/>
        <v>#N/A</v>
      </c>
      <c r="G22" s="94" t="e">
        <f t="shared" si="2"/>
        <v>#N/A</v>
      </c>
      <c r="H22" s="94" t="e">
        <f t="shared" si="3"/>
        <v>#N/A</v>
      </c>
      <c r="I22" s="94" t="e">
        <f t="shared" si="4"/>
        <v>#N/A</v>
      </c>
    </row>
    <row r="23" spans="2:9" ht="17.25">
      <c r="B23" t="e">
        <f>VLOOKUP($A23,'対象指定ﾃﾞｰﾀ'!$B$12:$F$468,2,FALSE)</f>
        <v>#N/A</v>
      </c>
      <c r="C23" t="e">
        <f>VLOOKUP($A23,'対象指定ﾃﾞｰﾀ'!$B$12:$F$468,3,FALSE)</f>
        <v>#N/A</v>
      </c>
      <c r="D23" t="e">
        <f>VLOOKUP($A23,'対象指定ﾃﾞｰﾀ'!$B$12:$F$468,4,FALSE)</f>
        <v>#N/A</v>
      </c>
      <c r="E23" s="39" t="e">
        <f t="shared" si="0"/>
        <v>#N/A</v>
      </c>
      <c r="F23" s="93" t="e">
        <f t="shared" si="1"/>
        <v>#N/A</v>
      </c>
      <c r="G23" s="94" t="e">
        <f t="shared" si="2"/>
        <v>#N/A</v>
      </c>
      <c r="H23" s="94" t="e">
        <f t="shared" si="3"/>
        <v>#N/A</v>
      </c>
      <c r="I23" s="94" t="e">
        <f t="shared" si="4"/>
        <v>#N/A</v>
      </c>
    </row>
    <row r="24" spans="2:9" ht="17.25">
      <c r="B24" t="e">
        <f>VLOOKUP($A24,'対象指定ﾃﾞｰﾀ'!$B$12:$F$468,2,FALSE)</f>
        <v>#N/A</v>
      </c>
      <c r="C24" t="e">
        <f>VLOOKUP($A24,'対象指定ﾃﾞｰﾀ'!$B$12:$F$468,3,FALSE)</f>
        <v>#N/A</v>
      </c>
      <c r="D24" t="e">
        <f>VLOOKUP($A24,'対象指定ﾃﾞｰﾀ'!$B$12:$F$468,4,FALSE)</f>
        <v>#N/A</v>
      </c>
      <c r="E24" s="39" t="e">
        <f t="shared" si="0"/>
        <v>#N/A</v>
      </c>
      <c r="F24" s="93" t="e">
        <f t="shared" si="1"/>
        <v>#N/A</v>
      </c>
      <c r="G24" s="94" t="e">
        <f t="shared" si="2"/>
        <v>#N/A</v>
      </c>
      <c r="H24" s="94" t="e">
        <f t="shared" si="3"/>
        <v>#N/A</v>
      </c>
      <c r="I24" s="94" t="e">
        <f t="shared" si="4"/>
        <v>#N/A</v>
      </c>
    </row>
    <row r="26" ht="18" thickBot="1"/>
    <row r="27" spans="1:5" ht="18" thickBot="1">
      <c r="A27" s="95" t="s">
        <v>296</v>
      </c>
      <c r="B27">
        <f>VLOOKUP($A27,'対象指定ﾃﾞｰﾀ'!$B$12:$F$468,2,FALSE)</f>
        <v>1958</v>
      </c>
      <c r="C27">
        <f>VLOOKUP($A27,'対象指定ﾃﾞｰﾀ'!$B$12:$F$468,3,FALSE)</f>
        <v>2</v>
      </c>
      <c r="D27">
        <f>VLOOKUP($A27,'対象指定ﾃﾞｰﾀ'!$B$12:$F$468,4,FALSE)</f>
        <v>20</v>
      </c>
      <c r="E27" s="92">
        <f>DATE(B27,C27,D27)</f>
        <v>21236</v>
      </c>
    </row>
    <row r="28" spans="1:9" ht="17.25">
      <c r="A28" t="s">
        <v>295</v>
      </c>
      <c r="B28">
        <f>VLOOKUP($A28,'対象指定ﾃﾞｰﾀ'!$B$12:$F$468,2,FALSE)</f>
        <v>1957</v>
      </c>
      <c r="C28">
        <f>VLOOKUP($A28,'対象指定ﾃﾞｰﾀ'!$B$12:$F$468,3,FALSE)</f>
        <v>9</v>
      </c>
      <c r="D28">
        <f>VLOOKUP($A28,'対象指定ﾃﾞｰﾀ'!$B$12:$F$468,4,FALSE)</f>
        <v>16</v>
      </c>
      <c r="E28" s="39">
        <f>DATE(B28,C28,D28)</f>
        <v>21079</v>
      </c>
      <c r="F28" s="93">
        <f>$E$27-E28</f>
        <v>157</v>
      </c>
      <c r="G28" s="94">
        <f>1-MIN(23-MOD($F28,23),MOD($F28,23))/(23/2)</f>
        <v>0.6521739130434783</v>
      </c>
      <c r="H28" s="94">
        <f>1-MIN(28-MOD($F28,28),MOD($F28,28))/(28/2)</f>
        <v>0.2142857142857143</v>
      </c>
      <c r="I28" s="94">
        <f>1-MIN(33-MOD($F28,33),MOD($F28,33))/(33/2)</f>
        <v>0.5151515151515151</v>
      </c>
    </row>
    <row r="29" spans="1:9" ht="17.25">
      <c r="A29" t="s">
        <v>297</v>
      </c>
      <c r="B29">
        <f>VLOOKUP($A29,'対象指定ﾃﾞｰﾀ'!$B$12:$F$468,2,FALSE)</f>
        <v>1971</v>
      </c>
      <c r="C29">
        <f>VLOOKUP($A29,'対象指定ﾃﾞｰﾀ'!$B$12:$F$468,3,FALSE)</f>
        <v>10</v>
      </c>
      <c r="D29">
        <f>VLOOKUP($A29,'対象指定ﾃﾞｰﾀ'!$B$12:$F$468,4,FALSE)</f>
        <v>23</v>
      </c>
      <c r="E29" s="39">
        <f>DATE(B29,C29,D29)</f>
        <v>26229</v>
      </c>
      <c r="F29" s="93">
        <f aca="true" t="shared" si="5" ref="F29:F47">$E$27-E29</f>
        <v>-4993</v>
      </c>
      <c r="G29" s="94">
        <f aca="true" t="shared" si="6" ref="G29:G47">1-MIN(23-MOD($F29,23),MOD($F29,23))/(23/2)</f>
        <v>0.8260869565217391</v>
      </c>
      <c r="H29" s="94">
        <f aca="true" t="shared" si="7" ref="H29:H47">1-MIN(28-MOD($F29,28),MOD($F29,28))/(28/2)</f>
        <v>0.3571428571428571</v>
      </c>
      <c r="I29" s="94">
        <f aca="true" t="shared" si="8" ref="I29:I47">1-MIN(33-MOD($F29,33),MOD($F29,33))/(33/2)</f>
        <v>0.3939393939393939</v>
      </c>
    </row>
    <row r="30" spans="1:9" ht="17.25">
      <c r="A30" t="s">
        <v>298</v>
      </c>
      <c r="B30">
        <f>VLOOKUP($A30,'対象指定ﾃﾞｰﾀ'!$B$12:$F$468,2,FALSE)</f>
        <v>1955</v>
      </c>
      <c r="C30">
        <f>VLOOKUP($A30,'対象指定ﾃﾞｰﾀ'!$B$12:$F$468,3,FALSE)</f>
        <v>10</v>
      </c>
      <c r="D30">
        <f>VLOOKUP($A30,'対象指定ﾃﾞｰﾀ'!$B$12:$F$468,4,FALSE)</f>
        <v>18</v>
      </c>
      <c r="E30" s="39">
        <f aca="true" t="shared" si="9" ref="E30:E43">DATE(B30,C30,D30)</f>
        <v>20380</v>
      </c>
      <c r="F30" s="93">
        <f t="shared" si="5"/>
        <v>856</v>
      </c>
      <c r="G30" s="94">
        <f t="shared" si="6"/>
        <v>0.5652173913043479</v>
      </c>
      <c r="H30" s="94">
        <f t="shared" si="7"/>
        <v>0.1428571428571429</v>
      </c>
      <c r="I30" s="94">
        <f t="shared" si="8"/>
        <v>0.8787878787878788</v>
      </c>
    </row>
    <row r="31" spans="2:9" ht="17.25">
      <c r="B31" t="e">
        <f>VLOOKUP($A31,'対象指定ﾃﾞｰﾀ'!$B$12:$F$468,2,FALSE)</f>
        <v>#N/A</v>
      </c>
      <c r="C31" t="e">
        <f>VLOOKUP($A31,'対象指定ﾃﾞｰﾀ'!$B$12:$F$468,3,FALSE)</f>
        <v>#N/A</v>
      </c>
      <c r="D31" t="e">
        <f>VLOOKUP($A31,'対象指定ﾃﾞｰﾀ'!$B$12:$F$468,4,FALSE)</f>
        <v>#N/A</v>
      </c>
      <c r="E31" s="39" t="e">
        <f t="shared" si="9"/>
        <v>#N/A</v>
      </c>
      <c r="F31" s="93" t="e">
        <f t="shared" si="5"/>
        <v>#N/A</v>
      </c>
      <c r="G31" s="94" t="e">
        <f t="shared" si="6"/>
        <v>#N/A</v>
      </c>
      <c r="H31" s="94" t="e">
        <f t="shared" si="7"/>
        <v>#N/A</v>
      </c>
      <c r="I31" s="94" t="e">
        <f t="shared" si="8"/>
        <v>#N/A</v>
      </c>
    </row>
    <row r="32" spans="2:9" ht="17.25">
      <c r="B32" t="e">
        <f>VLOOKUP($A32,'対象指定ﾃﾞｰﾀ'!$B$12:$F$468,2,FALSE)</f>
        <v>#N/A</v>
      </c>
      <c r="C32" t="e">
        <f>VLOOKUP($A32,'対象指定ﾃﾞｰﾀ'!$B$12:$F$468,3,FALSE)</f>
        <v>#N/A</v>
      </c>
      <c r="D32" t="e">
        <f>VLOOKUP($A32,'対象指定ﾃﾞｰﾀ'!$B$12:$F$468,4,FALSE)</f>
        <v>#N/A</v>
      </c>
      <c r="E32" s="39" t="e">
        <f t="shared" si="9"/>
        <v>#N/A</v>
      </c>
      <c r="F32" s="93" t="e">
        <f t="shared" si="5"/>
        <v>#N/A</v>
      </c>
      <c r="G32" s="94" t="e">
        <f t="shared" si="6"/>
        <v>#N/A</v>
      </c>
      <c r="H32" s="94" t="e">
        <f t="shared" si="7"/>
        <v>#N/A</v>
      </c>
      <c r="I32" s="94" t="e">
        <f t="shared" si="8"/>
        <v>#N/A</v>
      </c>
    </row>
    <row r="33" spans="2:9" ht="17.25">
      <c r="B33" t="e">
        <f>VLOOKUP($A33,'対象指定ﾃﾞｰﾀ'!$B$12:$F$468,2,FALSE)</f>
        <v>#N/A</v>
      </c>
      <c r="C33" t="e">
        <f>VLOOKUP($A33,'対象指定ﾃﾞｰﾀ'!$B$12:$F$468,3,FALSE)</f>
        <v>#N/A</v>
      </c>
      <c r="D33" t="e">
        <f>VLOOKUP($A33,'対象指定ﾃﾞｰﾀ'!$B$12:$F$468,4,FALSE)</f>
        <v>#N/A</v>
      </c>
      <c r="E33" s="39" t="e">
        <f t="shared" si="9"/>
        <v>#N/A</v>
      </c>
      <c r="F33" s="93" t="e">
        <f t="shared" si="5"/>
        <v>#N/A</v>
      </c>
      <c r="G33" s="94" t="e">
        <f t="shared" si="6"/>
        <v>#N/A</v>
      </c>
      <c r="H33" s="94" t="e">
        <f t="shared" si="7"/>
        <v>#N/A</v>
      </c>
      <c r="I33" s="94" t="e">
        <f t="shared" si="8"/>
        <v>#N/A</v>
      </c>
    </row>
    <row r="34" spans="2:9" ht="17.25">
      <c r="B34" t="e">
        <f>VLOOKUP($A34,'対象指定ﾃﾞｰﾀ'!$B$12:$F$468,2,FALSE)</f>
        <v>#N/A</v>
      </c>
      <c r="C34" t="e">
        <f>VLOOKUP($A34,'対象指定ﾃﾞｰﾀ'!$B$12:$F$468,3,FALSE)</f>
        <v>#N/A</v>
      </c>
      <c r="D34" t="e">
        <f>VLOOKUP($A34,'対象指定ﾃﾞｰﾀ'!$B$12:$F$468,4,FALSE)</f>
        <v>#N/A</v>
      </c>
      <c r="E34" s="39" t="e">
        <f t="shared" si="9"/>
        <v>#N/A</v>
      </c>
      <c r="F34" s="93" t="e">
        <f t="shared" si="5"/>
        <v>#N/A</v>
      </c>
      <c r="G34" s="94" t="e">
        <f t="shared" si="6"/>
        <v>#N/A</v>
      </c>
      <c r="H34" s="94" t="e">
        <f t="shared" si="7"/>
        <v>#N/A</v>
      </c>
      <c r="I34" s="94" t="e">
        <f t="shared" si="8"/>
        <v>#N/A</v>
      </c>
    </row>
    <row r="35" spans="2:9" ht="17.25">
      <c r="B35" t="e">
        <f>VLOOKUP($A35,'対象指定ﾃﾞｰﾀ'!$B$12:$F$468,2,FALSE)</f>
        <v>#N/A</v>
      </c>
      <c r="C35" t="e">
        <f>VLOOKUP($A35,'対象指定ﾃﾞｰﾀ'!$B$12:$F$468,3,FALSE)</f>
        <v>#N/A</v>
      </c>
      <c r="D35" t="e">
        <f>VLOOKUP($A35,'対象指定ﾃﾞｰﾀ'!$B$12:$F$468,4,FALSE)</f>
        <v>#N/A</v>
      </c>
      <c r="E35" s="39" t="e">
        <f t="shared" si="9"/>
        <v>#N/A</v>
      </c>
      <c r="F35" s="93" t="e">
        <f t="shared" si="5"/>
        <v>#N/A</v>
      </c>
      <c r="G35" s="94" t="e">
        <f t="shared" si="6"/>
        <v>#N/A</v>
      </c>
      <c r="H35" s="94" t="e">
        <f t="shared" si="7"/>
        <v>#N/A</v>
      </c>
      <c r="I35" s="94" t="e">
        <f t="shared" si="8"/>
        <v>#N/A</v>
      </c>
    </row>
    <row r="36" spans="2:9" ht="17.25">
      <c r="B36" t="e">
        <f>VLOOKUP($A36,'対象指定ﾃﾞｰﾀ'!$B$12:$F$468,2,FALSE)</f>
        <v>#N/A</v>
      </c>
      <c r="C36" t="e">
        <f>VLOOKUP($A36,'対象指定ﾃﾞｰﾀ'!$B$12:$F$468,3,FALSE)</f>
        <v>#N/A</v>
      </c>
      <c r="D36" t="e">
        <f>VLOOKUP($A36,'対象指定ﾃﾞｰﾀ'!$B$12:$F$468,4,FALSE)</f>
        <v>#N/A</v>
      </c>
      <c r="E36" s="39" t="e">
        <f t="shared" si="9"/>
        <v>#N/A</v>
      </c>
      <c r="F36" s="93" t="e">
        <f t="shared" si="5"/>
        <v>#N/A</v>
      </c>
      <c r="G36" s="94" t="e">
        <f t="shared" si="6"/>
        <v>#N/A</v>
      </c>
      <c r="H36" s="94" t="e">
        <f t="shared" si="7"/>
        <v>#N/A</v>
      </c>
      <c r="I36" s="94" t="e">
        <f t="shared" si="8"/>
        <v>#N/A</v>
      </c>
    </row>
    <row r="37" spans="2:9" ht="17.25">
      <c r="B37" t="e">
        <f>VLOOKUP($A37,'対象指定ﾃﾞｰﾀ'!$B$12:$F$468,2,FALSE)</f>
        <v>#N/A</v>
      </c>
      <c r="C37" t="e">
        <f>VLOOKUP($A37,'対象指定ﾃﾞｰﾀ'!$B$12:$F$468,3,FALSE)</f>
        <v>#N/A</v>
      </c>
      <c r="D37" t="e">
        <f>VLOOKUP($A37,'対象指定ﾃﾞｰﾀ'!$B$12:$F$468,4,FALSE)</f>
        <v>#N/A</v>
      </c>
      <c r="E37" s="39" t="e">
        <f t="shared" si="9"/>
        <v>#N/A</v>
      </c>
      <c r="F37" s="93" t="e">
        <f t="shared" si="5"/>
        <v>#N/A</v>
      </c>
      <c r="G37" s="94" t="e">
        <f t="shared" si="6"/>
        <v>#N/A</v>
      </c>
      <c r="H37" s="94" t="e">
        <f t="shared" si="7"/>
        <v>#N/A</v>
      </c>
      <c r="I37" s="94" t="e">
        <f t="shared" si="8"/>
        <v>#N/A</v>
      </c>
    </row>
    <row r="38" spans="2:9" ht="17.25">
      <c r="B38" t="e">
        <f>VLOOKUP($A38,'対象指定ﾃﾞｰﾀ'!$B$12:$F$468,2,FALSE)</f>
        <v>#N/A</v>
      </c>
      <c r="C38" t="e">
        <f>VLOOKUP($A38,'対象指定ﾃﾞｰﾀ'!$B$12:$F$468,3,FALSE)</f>
        <v>#N/A</v>
      </c>
      <c r="D38" t="e">
        <f>VLOOKUP($A38,'対象指定ﾃﾞｰﾀ'!$B$12:$F$468,4,FALSE)</f>
        <v>#N/A</v>
      </c>
      <c r="E38" s="39" t="e">
        <f>DATE(B38,C38,D38)</f>
        <v>#N/A</v>
      </c>
      <c r="F38" s="93" t="e">
        <f t="shared" si="5"/>
        <v>#N/A</v>
      </c>
      <c r="G38" s="94" t="e">
        <f t="shared" si="6"/>
        <v>#N/A</v>
      </c>
      <c r="H38" s="94" t="e">
        <f t="shared" si="7"/>
        <v>#N/A</v>
      </c>
      <c r="I38" s="94" t="e">
        <f t="shared" si="8"/>
        <v>#N/A</v>
      </c>
    </row>
    <row r="39" spans="2:9" ht="17.25">
      <c r="B39" t="e">
        <f>VLOOKUP($A39,'対象指定ﾃﾞｰﾀ'!$B$12:$F$468,2,FALSE)</f>
        <v>#N/A</v>
      </c>
      <c r="C39" t="e">
        <f>VLOOKUP($A39,'対象指定ﾃﾞｰﾀ'!$B$12:$F$468,3,FALSE)</f>
        <v>#N/A</v>
      </c>
      <c r="D39" t="e">
        <f>VLOOKUP($A39,'対象指定ﾃﾞｰﾀ'!$B$12:$F$468,4,FALSE)</f>
        <v>#N/A</v>
      </c>
      <c r="E39" s="39" t="e">
        <f>DATE(B39,C39,D39)</f>
        <v>#N/A</v>
      </c>
      <c r="F39" s="93" t="e">
        <f t="shared" si="5"/>
        <v>#N/A</v>
      </c>
      <c r="G39" s="94" t="e">
        <f t="shared" si="6"/>
        <v>#N/A</v>
      </c>
      <c r="H39" s="94" t="e">
        <f t="shared" si="7"/>
        <v>#N/A</v>
      </c>
      <c r="I39" s="94" t="e">
        <f t="shared" si="8"/>
        <v>#N/A</v>
      </c>
    </row>
    <row r="40" spans="2:9" ht="17.25">
      <c r="B40" t="e">
        <f>VLOOKUP($A40,'対象指定ﾃﾞｰﾀ'!$B$12:$F$468,2,FALSE)</f>
        <v>#N/A</v>
      </c>
      <c r="C40" t="e">
        <f>VLOOKUP($A40,'対象指定ﾃﾞｰﾀ'!$B$12:$F$468,3,FALSE)</f>
        <v>#N/A</v>
      </c>
      <c r="D40" t="e">
        <f>VLOOKUP($A40,'対象指定ﾃﾞｰﾀ'!$B$12:$F$468,4,FALSE)</f>
        <v>#N/A</v>
      </c>
      <c r="E40" s="39" t="e">
        <f>DATE(B40,C40,D40)</f>
        <v>#N/A</v>
      </c>
      <c r="F40" s="93" t="e">
        <f t="shared" si="5"/>
        <v>#N/A</v>
      </c>
      <c r="G40" s="94" t="e">
        <f t="shared" si="6"/>
        <v>#N/A</v>
      </c>
      <c r="H40" s="94" t="e">
        <f t="shared" si="7"/>
        <v>#N/A</v>
      </c>
      <c r="I40" s="94" t="e">
        <f t="shared" si="8"/>
        <v>#N/A</v>
      </c>
    </row>
    <row r="41" spans="2:9" ht="17.25">
      <c r="B41" t="e">
        <f>VLOOKUP($A41,'対象指定ﾃﾞｰﾀ'!$B$12:$F$468,2,FALSE)</f>
        <v>#N/A</v>
      </c>
      <c r="C41" t="e">
        <f>VLOOKUP($A41,'対象指定ﾃﾞｰﾀ'!$B$12:$F$468,3,FALSE)</f>
        <v>#N/A</v>
      </c>
      <c r="D41" t="e">
        <f>VLOOKUP($A41,'対象指定ﾃﾞｰﾀ'!$B$12:$F$468,4,FALSE)</f>
        <v>#N/A</v>
      </c>
      <c r="E41" s="39" t="e">
        <f>DATE(B41,C41,D41)</f>
        <v>#N/A</v>
      </c>
      <c r="F41" s="93" t="e">
        <f t="shared" si="5"/>
        <v>#N/A</v>
      </c>
      <c r="G41" s="94" t="e">
        <f t="shared" si="6"/>
        <v>#N/A</v>
      </c>
      <c r="H41" s="94" t="e">
        <f t="shared" si="7"/>
        <v>#N/A</v>
      </c>
      <c r="I41" s="94" t="e">
        <f t="shared" si="8"/>
        <v>#N/A</v>
      </c>
    </row>
    <row r="42" spans="2:9" ht="17.25">
      <c r="B42" t="e">
        <f>VLOOKUP($A42,'対象指定ﾃﾞｰﾀ'!$B$12:$F$468,2,FALSE)</f>
        <v>#N/A</v>
      </c>
      <c r="C42" t="e">
        <f>VLOOKUP($A42,'対象指定ﾃﾞｰﾀ'!$B$12:$F$468,3,FALSE)</f>
        <v>#N/A</v>
      </c>
      <c r="D42" t="e">
        <f>VLOOKUP($A42,'対象指定ﾃﾞｰﾀ'!$B$12:$F$468,4,FALSE)</f>
        <v>#N/A</v>
      </c>
      <c r="E42" s="39" t="e">
        <f t="shared" si="9"/>
        <v>#N/A</v>
      </c>
      <c r="F42" s="93" t="e">
        <f t="shared" si="5"/>
        <v>#N/A</v>
      </c>
      <c r="G42" s="94" t="e">
        <f t="shared" si="6"/>
        <v>#N/A</v>
      </c>
      <c r="H42" s="94" t="e">
        <f t="shared" si="7"/>
        <v>#N/A</v>
      </c>
      <c r="I42" s="94" t="e">
        <f t="shared" si="8"/>
        <v>#N/A</v>
      </c>
    </row>
    <row r="43" spans="2:9" ht="17.25">
      <c r="B43" t="e">
        <f>VLOOKUP($A43,'対象指定ﾃﾞｰﾀ'!$B$12:$F$468,2,FALSE)</f>
        <v>#N/A</v>
      </c>
      <c r="C43" t="e">
        <f>VLOOKUP($A43,'対象指定ﾃﾞｰﾀ'!$B$12:$F$468,3,FALSE)</f>
        <v>#N/A</v>
      </c>
      <c r="D43" t="e">
        <f>VLOOKUP($A43,'対象指定ﾃﾞｰﾀ'!$B$12:$F$468,4,FALSE)</f>
        <v>#N/A</v>
      </c>
      <c r="E43" s="39" t="e">
        <f t="shared" si="9"/>
        <v>#N/A</v>
      </c>
      <c r="F43" s="93" t="e">
        <f t="shared" si="5"/>
        <v>#N/A</v>
      </c>
      <c r="G43" s="94" t="e">
        <f t="shared" si="6"/>
        <v>#N/A</v>
      </c>
      <c r="H43" s="94" t="e">
        <f t="shared" si="7"/>
        <v>#N/A</v>
      </c>
      <c r="I43" s="94" t="e">
        <f t="shared" si="8"/>
        <v>#N/A</v>
      </c>
    </row>
    <row r="44" spans="2:9" ht="17.25">
      <c r="B44" t="e">
        <f>VLOOKUP($A44,'対象指定ﾃﾞｰﾀ'!$B$12:$F$468,2,FALSE)</f>
        <v>#N/A</v>
      </c>
      <c r="C44" t="e">
        <f>VLOOKUP($A44,'対象指定ﾃﾞｰﾀ'!$B$12:$F$468,3,FALSE)</f>
        <v>#N/A</v>
      </c>
      <c r="D44" t="e">
        <f>VLOOKUP($A44,'対象指定ﾃﾞｰﾀ'!$B$12:$F$468,4,FALSE)</f>
        <v>#N/A</v>
      </c>
      <c r="E44" s="39" t="e">
        <f>DATE(B44,C44,D44)</f>
        <v>#N/A</v>
      </c>
      <c r="F44" s="93" t="e">
        <f t="shared" si="5"/>
        <v>#N/A</v>
      </c>
      <c r="G44" s="94" t="e">
        <f t="shared" si="6"/>
        <v>#N/A</v>
      </c>
      <c r="H44" s="94" t="e">
        <f t="shared" si="7"/>
        <v>#N/A</v>
      </c>
      <c r="I44" s="94" t="e">
        <f t="shared" si="8"/>
        <v>#N/A</v>
      </c>
    </row>
    <row r="45" spans="2:9" ht="17.25">
      <c r="B45" t="e">
        <f>VLOOKUP($A45,'対象指定ﾃﾞｰﾀ'!$B$12:$F$468,2,FALSE)</f>
        <v>#N/A</v>
      </c>
      <c r="C45" t="e">
        <f>VLOOKUP($A45,'対象指定ﾃﾞｰﾀ'!$B$12:$F$468,3,FALSE)</f>
        <v>#N/A</v>
      </c>
      <c r="D45" t="e">
        <f>VLOOKUP($A45,'対象指定ﾃﾞｰﾀ'!$B$12:$F$468,4,FALSE)</f>
        <v>#N/A</v>
      </c>
      <c r="E45" s="39" t="e">
        <f>DATE(B45,C45,D45)</f>
        <v>#N/A</v>
      </c>
      <c r="F45" s="93" t="e">
        <f t="shared" si="5"/>
        <v>#N/A</v>
      </c>
      <c r="G45" s="94" t="e">
        <f t="shared" si="6"/>
        <v>#N/A</v>
      </c>
      <c r="H45" s="94" t="e">
        <f t="shared" si="7"/>
        <v>#N/A</v>
      </c>
      <c r="I45" s="94" t="e">
        <f t="shared" si="8"/>
        <v>#N/A</v>
      </c>
    </row>
    <row r="46" spans="2:9" ht="17.25">
      <c r="B46" t="e">
        <f>VLOOKUP($A46,'対象指定ﾃﾞｰﾀ'!$B$12:$F$468,2,FALSE)</f>
        <v>#N/A</v>
      </c>
      <c r="C46" t="e">
        <f>VLOOKUP($A46,'対象指定ﾃﾞｰﾀ'!$B$12:$F$468,3,FALSE)</f>
        <v>#N/A</v>
      </c>
      <c r="D46" t="e">
        <f>VLOOKUP($A46,'対象指定ﾃﾞｰﾀ'!$B$12:$F$468,4,FALSE)</f>
        <v>#N/A</v>
      </c>
      <c r="E46" s="39" t="e">
        <f>DATE(B46,C46,D46)</f>
        <v>#N/A</v>
      </c>
      <c r="F46" s="93" t="e">
        <f t="shared" si="5"/>
        <v>#N/A</v>
      </c>
      <c r="G46" s="94" t="e">
        <f t="shared" si="6"/>
        <v>#N/A</v>
      </c>
      <c r="H46" s="94" t="e">
        <f t="shared" si="7"/>
        <v>#N/A</v>
      </c>
      <c r="I46" s="94" t="e">
        <f t="shared" si="8"/>
        <v>#N/A</v>
      </c>
    </row>
    <row r="47" spans="2:9" ht="17.25">
      <c r="B47" t="e">
        <f>VLOOKUP($A47,'対象指定ﾃﾞｰﾀ'!$B$12:$F$468,2,FALSE)</f>
        <v>#N/A</v>
      </c>
      <c r="C47" t="e">
        <f>VLOOKUP($A47,'対象指定ﾃﾞｰﾀ'!$B$12:$F$468,3,FALSE)</f>
        <v>#N/A</v>
      </c>
      <c r="D47" t="e">
        <f>VLOOKUP($A47,'対象指定ﾃﾞｰﾀ'!$B$12:$F$468,4,FALSE)</f>
        <v>#N/A</v>
      </c>
      <c r="E47" s="39" t="e">
        <f>DATE(B47,C47,D47)</f>
        <v>#N/A</v>
      </c>
      <c r="F47" s="93" t="e">
        <f t="shared" si="5"/>
        <v>#N/A</v>
      </c>
      <c r="G47" s="94" t="e">
        <f t="shared" si="6"/>
        <v>#N/A</v>
      </c>
      <c r="H47" s="94" t="e">
        <f t="shared" si="7"/>
        <v>#N/A</v>
      </c>
      <c r="I47" s="94" t="e">
        <f t="shared" si="8"/>
        <v>#N/A</v>
      </c>
    </row>
  </sheetData>
  <sheetProtection/>
  <mergeCells count="1">
    <mergeCell ref="G2:I2"/>
  </mergeCells>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C41"/>
  <sheetViews>
    <sheetView view="pageBreakPreview" zoomScaleSheetLayoutView="100" zoomScalePageLayoutView="0" workbookViewId="0" topLeftCell="A1">
      <selection activeCell="A1" sqref="A1:C1"/>
    </sheetView>
  </sheetViews>
  <sheetFormatPr defaultColWidth="8.66015625" defaultRowHeight="18"/>
  <cols>
    <col min="8" max="8" width="4.83203125" style="0" customWidth="1"/>
  </cols>
  <sheetData>
    <row r="1" spans="1:3" ht="21" customHeight="1">
      <c r="A1" s="114" t="s">
        <v>84</v>
      </c>
      <c r="B1" s="113"/>
      <c r="C1" s="113"/>
    </row>
    <row r="2" ht="21" customHeight="1">
      <c r="A2" s="40" t="s">
        <v>85</v>
      </c>
    </row>
    <row r="3" ht="21" customHeight="1">
      <c r="A3" s="40" t="s">
        <v>99</v>
      </c>
    </row>
    <row r="4" ht="21" customHeight="1">
      <c r="A4" s="40"/>
    </row>
    <row r="5" ht="21" customHeight="1">
      <c r="A5" s="40" t="s">
        <v>115</v>
      </c>
    </row>
    <row r="6" ht="21" customHeight="1">
      <c r="A6" s="40" t="s">
        <v>116</v>
      </c>
    </row>
    <row r="7" ht="21" customHeight="1">
      <c r="A7" s="40" t="s">
        <v>86</v>
      </c>
    </row>
    <row r="8" ht="21" customHeight="1">
      <c r="A8" s="40" t="s">
        <v>87</v>
      </c>
    </row>
    <row r="9" ht="21" customHeight="1">
      <c r="A9" s="40" t="s">
        <v>89</v>
      </c>
    </row>
    <row r="10" ht="21" customHeight="1">
      <c r="A10" s="40" t="s">
        <v>101</v>
      </c>
    </row>
    <row r="11" ht="21" customHeight="1">
      <c r="A11" s="40" t="s">
        <v>88</v>
      </c>
    </row>
    <row r="12" ht="21" customHeight="1">
      <c r="A12" s="40" t="s">
        <v>103</v>
      </c>
    </row>
    <row r="13" ht="21" customHeight="1">
      <c r="A13" s="40" t="s">
        <v>104</v>
      </c>
    </row>
    <row r="14" ht="21" customHeight="1">
      <c r="A14" s="40" t="s">
        <v>106</v>
      </c>
    </row>
    <row r="15" ht="21" customHeight="1">
      <c r="A15" s="40"/>
    </row>
    <row r="16" ht="21" customHeight="1">
      <c r="A16" s="40" t="s">
        <v>102</v>
      </c>
    </row>
    <row r="17" ht="21" customHeight="1">
      <c r="A17" s="98" t="s">
        <v>105</v>
      </c>
    </row>
    <row r="18" ht="21" customHeight="1">
      <c r="A18" s="40" t="s">
        <v>90</v>
      </c>
    </row>
    <row r="19" ht="21" customHeight="1">
      <c r="A19" s="40"/>
    </row>
    <row r="20" ht="21" customHeight="1">
      <c r="A20" s="40" t="s">
        <v>91</v>
      </c>
    </row>
    <row r="21" ht="21" customHeight="1">
      <c r="A21" s="40" t="s">
        <v>92</v>
      </c>
    </row>
    <row r="22" ht="21" customHeight="1">
      <c r="A22" s="40" t="s">
        <v>93</v>
      </c>
    </row>
    <row r="23" ht="21" customHeight="1">
      <c r="A23" s="99" t="s">
        <v>100</v>
      </c>
    </row>
    <row r="24" ht="21" customHeight="1">
      <c r="A24" s="40" t="s">
        <v>94</v>
      </c>
    </row>
    <row r="25" ht="21" customHeight="1">
      <c r="A25" s="40"/>
    </row>
    <row r="26" ht="21" customHeight="1">
      <c r="A26" s="40" t="s">
        <v>95</v>
      </c>
    </row>
    <row r="27" ht="21" customHeight="1">
      <c r="A27" s="40" t="s">
        <v>117</v>
      </c>
    </row>
    <row r="28" ht="21" customHeight="1">
      <c r="A28" s="40" t="s">
        <v>96</v>
      </c>
    </row>
    <row r="29" ht="21" customHeight="1">
      <c r="A29" s="40"/>
    </row>
    <row r="30" ht="21" customHeight="1">
      <c r="A30" s="40" t="s">
        <v>98</v>
      </c>
    </row>
    <row r="31" ht="21" customHeight="1">
      <c r="A31" s="40" t="s">
        <v>97</v>
      </c>
    </row>
    <row r="32" ht="21" customHeight="1">
      <c r="A32" s="40"/>
    </row>
    <row r="33" ht="21" customHeight="1">
      <c r="A33" s="40"/>
    </row>
    <row r="34" ht="21" customHeight="1">
      <c r="A34" s="40"/>
    </row>
    <row r="35" ht="21" customHeight="1">
      <c r="A35" s="40"/>
    </row>
    <row r="36" ht="21" customHeight="1">
      <c r="A36" s="40"/>
    </row>
    <row r="37" ht="21" customHeight="1">
      <c r="A37" s="40"/>
    </row>
    <row r="38" ht="21" customHeight="1">
      <c r="A38" s="40"/>
    </row>
    <row r="39" ht="21" customHeight="1">
      <c r="A39" s="40"/>
    </row>
    <row r="40" ht="21" customHeight="1">
      <c r="A40" s="42"/>
    </row>
    <row r="41" ht="21" customHeight="1">
      <c r="A41" s="43"/>
    </row>
  </sheetData>
  <sheetProtection/>
  <mergeCells count="1">
    <mergeCell ref="A1:C1"/>
  </mergeCells>
  <printOptions/>
  <pageMargins left="1.05" right="0.47" top="0.37" bottom="0.46" header="0.28" footer="0.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P53"/>
  <sheetViews>
    <sheetView zoomScalePageLayoutView="0" workbookViewId="0" topLeftCell="A31">
      <selection activeCell="A2" sqref="A2"/>
    </sheetView>
  </sheetViews>
  <sheetFormatPr defaultColWidth="8.66015625" defaultRowHeight="18"/>
  <cols>
    <col min="1" max="1" width="4.08203125" style="0" customWidth="1"/>
    <col min="2" max="2" width="3.41015625" style="0" customWidth="1"/>
    <col min="3" max="3" width="5.41015625" style="0" bestFit="1" customWidth="1"/>
    <col min="8" max="8" width="2.33203125" style="0" customWidth="1"/>
    <col min="13" max="13" width="3" style="0" customWidth="1"/>
    <col min="18" max="18" width="2.91015625" style="0" customWidth="1"/>
    <col min="23" max="23" width="2.58203125" style="0" customWidth="1"/>
    <col min="28" max="28" width="2.58203125" style="0" customWidth="1"/>
    <col min="33" max="33" width="2.58203125" style="0" customWidth="1"/>
    <col min="38" max="38" width="2.58203125" style="0" customWidth="1"/>
  </cols>
  <sheetData>
    <row r="1" ht="17.25">
      <c r="A1" t="s">
        <v>56</v>
      </c>
    </row>
    <row r="2" spans="4:39" ht="17.25">
      <c r="D2" s="1" t="s">
        <v>8</v>
      </c>
      <c r="I2" s="1" t="s">
        <v>9</v>
      </c>
      <c r="N2" s="1" t="s">
        <v>10</v>
      </c>
      <c r="S2" s="1" t="s">
        <v>12</v>
      </c>
      <c r="X2" s="1" t="s">
        <v>13</v>
      </c>
      <c r="AC2" s="1" t="s">
        <v>113</v>
      </c>
      <c r="AH2" s="1" t="s">
        <v>114</v>
      </c>
      <c r="AM2" s="1" t="s">
        <v>306</v>
      </c>
    </row>
    <row r="3" spans="3:42" ht="17.25">
      <c r="C3" s="2" t="s">
        <v>5</v>
      </c>
      <c r="D3" s="10" t="s">
        <v>57</v>
      </c>
      <c r="E3" s="2" t="s">
        <v>58</v>
      </c>
      <c r="F3" s="2" t="s">
        <v>59</v>
      </c>
      <c r="G3" s="2" t="s">
        <v>60</v>
      </c>
      <c r="I3" s="10" t="s">
        <v>57</v>
      </c>
      <c r="J3" s="2" t="s">
        <v>58</v>
      </c>
      <c r="K3" s="2" t="s">
        <v>59</v>
      </c>
      <c r="L3" s="2" t="s">
        <v>60</v>
      </c>
      <c r="N3" s="10" t="s">
        <v>57</v>
      </c>
      <c r="O3" s="2" t="s">
        <v>58</v>
      </c>
      <c r="P3" s="2" t="s">
        <v>59</v>
      </c>
      <c r="Q3" s="2" t="s">
        <v>60</v>
      </c>
      <c r="S3" s="10" t="s">
        <v>57</v>
      </c>
      <c r="T3" s="2" t="s">
        <v>58</v>
      </c>
      <c r="U3" s="2" t="s">
        <v>59</v>
      </c>
      <c r="V3" s="2" t="s">
        <v>60</v>
      </c>
      <c r="X3" s="10" t="s">
        <v>57</v>
      </c>
      <c r="Y3" s="2" t="s">
        <v>58</v>
      </c>
      <c r="Z3" s="2" t="s">
        <v>59</v>
      </c>
      <c r="AA3" s="2" t="s">
        <v>60</v>
      </c>
      <c r="AC3" s="10" t="s">
        <v>57</v>
      </c>
      <c r="AD3" s="2" t="s">
        <v>58</v>
      </c>
      <c r="AE3" s="2" t="s">
        <v>59</v>
      </c>
      <c r="AF3" s="2" t="s">
        <v>60</v>
      </c>
      <c r="AH3" s="10" t="s">
        <v>57</v>
      </c>
      <c r="AI3" s="2" t="s">
        <v>58</v>
      </c>
      <c r="AJ3" s="2" t="s">
        <v>59</v>
      </c>
      <c r="AK3" s="2" t="s">
        <v>60</v>
      </c>
      <c r="AM3" s="10" t="s">
        <v>57</v>
      </c>
      <c r="AN3" s="2" t="s">
        <v>58</v>
      </c>
      <c r="AO3" s="2" t="s">
        <v>59</v>
      </c>
      <c r="AP3" s="2" t="s">
        <v>60</v>
      </c>
    </row>
    <row r="4" spans="1:42" ht="17.25">
      <c r="A4" s="3">
        <f>WEEKDAY(DATE('対象指定ﾃﾞｰﾀ'!C$1,'対象指定ﾃﾞｰﾀ'!C$2,ROWS(D$4:D4)),3)</f>
        <v>1</v>
      </c>
      <c r="C4" s="3">
        <f>IF(A4=6,+"["&amp;FIXED(ROWS($D$4:D4),0,TRUE)&amp;"]",ROWS($D$4:D4))</f>
        <v>1</v>
      </c>
      <c r="D4" s="11">
        <f>DATE('対象指定ﾃﾞｰﾀ'!C1,'対象指定ﾃﾞｰﾀ'!C2,1)-DATE('対象指定ﾃﾞｰﾀ'!C4,'対象指定ﾃﾞｰﾀ'!D4,'対象指定ﾃﾞｰﾀ'!E4)</f>
        <v>19233</v>
      </c>
      <c r="E4" s="3">
        <f aca="true" t="shared" si="0" ref="E4:E34">SIN(2*PI()*MOD(D4,23)/23)</f>
        <v>0.9790840876823229</v>
      </c>
      <c r="F4" s="3">
        <f aca="true" t="shared" si="1" ref="F4:F34">SIN(2*PI()*MOD(D4,28)/28)</f>
        <v>-0.6234898018587337</v>
      </c>
      <c r="G4" s="3">
        <f aca="true" t="shared" si="2" ref="G4:G34">SIN(2*PI()*MOD(D4,33)/33)</f>
        <v>-0.9096319953545186</v>
      </c>
      <c r="I4" s="11">
        <f>DATE('対象指定ﾃﾞｰﾀ'!$C$1,'対象指定ﾃﾞｰﾀ'!$C$2,1)-DATE('対象指定ﾃﾞｰﾀ'!$C5,'対象指定ﾃﾞｰﾀ'!$D5,'対象指定ﾃﾞｰﾀ'!$E5)</f>
        <v>18337</v>
      </c>
      <c r="J4" s="3">
        <f aca="true" t="shared" si="3" ref="J4:J34">SIN(2*PI()*MOD(I4,23)/23)</f>
        <v>0.9976687691905392</v>
      </c>
      <c r="K4" s="3">
        <f aca="true" t="shared" si="4" ref="K4:K34">SIN(2*PI()*MOD(I4,28)/28)</f>
        <v>-0.6234898018587337</v>
      </c>
      <c r="L4" s="3">
        <f aca="true" t="shared" si="5" ref="L4:L34">SIN(2*PI()*MOD(I4,33)/33)</f>
        <v>-0.8660254037844384</v>
      </c>
      <c r="N4" s="11">
        <f>DATE('対象指定ﾃﾞｰﾀ'!$C$1,'対象指定ﾃﾞｰﾀ'!$C$2,1)-DATE('対象指定ﾃﾞｰﾀ'!$C6,'対象指定ﾃﾞｰﾀ'!$D6,'対象指定ﾃﾞｰﾀ'!$E6)</f>
        <v>21742</v>
      </c>
      <c r="O4" s="3">
        <f aca="true" t="shared" si="6" ref="O4:O34">SIN(2*PI()*MOD(N4,23)/23)</f>
        <v>0.9422609221188205</v>
      </c>
      <c r="P4" s="3">
        <f>SIN(2*PI()*MOD(N4,28)/28)</f>
        <v>1.22514845490862E-16</v>
      </c>
      <c r="Q4" s="3">
        <f>SIN(2*PI()*MOD(N4,33)/33)</f>
        <v>-0.8145759520503358</v>
      </c>
      <c r="S4" s="11">
        <f>DATE('対象指定ﾃﾞｰﾀ'!$C$1,'対象指定ﾃﾞｰﾀ'!$C$2,1)-DATE('対象指定ﾃﾞｰﾀ'!$C7,'対象指定ﾃﾞｰﾀ'!$D7,'対象指定ﾃﾞｰﾀ'!$E7)</f>
        <v>26856</v>
      </c>
      <c r="T4" s="3">
        <f aca="true" t="shared" si="7" ref="T4:T34">SIN(2*PI()*MOD(S4,23)/23)</f>
        <v>-0.816969893010442</v>
      </c>
      <c r="U4" s="3">
        <f>SIN(2*PI()*MOD(S4,28)/28)</f>
        <v>0.7818314824680298</v>
      </c>
      <c r="V4" s="3">
        <f>SIN(2*PI()*MOD(S4,33)/33)</f>
        <v>-0.9096319953545186</v>
      </c>
      <c r="X4" s="11">
        <f>DATE('対象指定ﾃﾞｰﾀ'!$C$1,'対象指定ﾃﾞｰﾀ'!$C$2,1)-DATE('対象指定ﾃﾞｰﾀ'!$C8,'対象指定ﾃﾞｰﾀ'!$D8,'対象指定ﾃﾞｰﾀ'!$E8)</f>
        <v>23857</v>
      </c>
      <c r="Y4" s="3">
        <f aca="true" t="shared" si="8" ref="Y4:Y34">SIN(2*PI()*MOD(X4,23)/23)</f>
        <v>0.9976687691905392</v>
      </c>
      <c r="Z4" s="3">
        <f>SIN(2*PI()*MOD(X4,28)/28)</f>
        <v>0.2225209339563144</v>
      </c>
      <c r="AA4" s="3">
        <f>SIN(2*PI()*MOD(X4,33)/33)</f>
        <v>-0.3716624556603281</v>
      </c>
      <c r="AC4" s="11">
        <f>DATE('対象指定ﾃﾞｰﾀ'!$C$1,'対象指定ﾃﾞｰﾀ'!$C$2,1)-DATE('対象指定ﾃﾞｰﾀ'!$C9,'対象指定ﾃﾞｰﾀ'!$D9,'対象指定ﾃﾞｰﾀ'!$E9)</f>
        <v>23593</v>
      </c>
      <c r="AD4" s="3">
        <f aca="true" t="shared" si="9" ref="AD4:AD34">SIN(2*PI()*MOD(AC4,23)/23)</f>
        <v>-0.979084087682323</v>
      </c>
      <c r="AE4" s="3">
        <f>SIN(2*PI()*MOD(AC4,28)/28)</f>
        <v>-0.6234898018587338</v>
      </c>
      <c r="AF4" s="3">
        <f>SIN(2*PI()*MOD(AC4,33)/33)</f>
        <v>-0.3716624556603281</v>
      </c>
      <c r="AH4" s="11">
        <f>DATE('対象指定ﾃﾞｰﾀ'!$C$1,'対象指定ﾃﾞｰﾀ'!$C$2,1)-DATE('対象指定ﾃﾞｰﾀ'!$C10,'対象指定ﾃﾞｰﾀ'!$D10,'対象指定ﾃﾞｰﾀ'!$E10)</f>
        <v>21863</v>
      </c>
      <c r="AI4" s="3">
        <f aca="true" t="shared" si="10" ref="AI4:AI34">SIN(2*PI()*MOD(AH4,23)/23)</f>
        <v>-0.39840108984624156</v>
      </c>
      <c r="AJ4" s="3">
        <f>SIN(2*PI()*MOD(AH4,28)/28)</f>
        <v>-0.9009688679024193</v>
      </c>
      <c r="AK4" s="3">
        <f>SIN(2*PI()*MOD(AH4,33)/33)</f>
        <v>-0.09505604330418263</v>
      </c>
      <c r="AM4" s="11">
        <f>DATE('対象指定ﾃﾞｰﾀ'!$C$1,'対象指定ﾃﾞｰﾀ'!$C$2,1)-DATE('対象指定ﾃﾞｰﾀ'!$C11,'対象指定ﾃﾞｰﾀ'!$D11,'対象指定ﾃﾞｰﾀ'!$E11)</f>
        <v>20700</v>
      </c>
      <c r="AN4" s="3">
        <f aca="true" t="shared" si="11" ref="AN4:AN34">SIN(2*PI()*MOD(AM4,23)/23)</f>
        <v>0</v>
      </c>
      <c r="AO4" s="3">
        <f>SIN(2*PI()*MOD(AM4,28)/28)</f>
        <v>0.9749279121818236</v>
      </c>
      <c r="AP4" s="3">
        <f>SIN(2*PI()*MOD(AM4,33)/33)</f>
        <v>0.9898214418809328</v>
      </c>
    </row>
    <row r="5" spans="1:42" ht="17.25">
      <c r="A5" s="3">
        <f>WEEKDAY(DATE('対象指定ﾃﾞｰﾀ'!C$1,'対象指定ﾃﾞｰﾀ'!C$2,ROWS(D$4:D5)),3)</f>
        <v>2</v>
      </c>
      <c r="C5" s="3">
        <f>IF(A5=6,+"["&amp;FIXED(ROWS($D$4:D5),0,TRUE)&amp;"]",ROWS($D$4:D5))</f>
        <v>2</v>
      </c>
      <c r="D5" s="11">
        <f aca="true" t="shared" si="12" ref="D5:D34">D4+1</f>
        <v>19234</v>
      </c>
      <c r="E5" s="3">
        <f t="shared" si="0"/>
        <v>0.9976687691905392</v>
      </c>
      <c r="F5" s="3">
        <f t="shared" si="1"/>
        <v>-0.4338837391175575</v>
      </c>
      <c r="G5" s="3">
        <f t="shared" si="2"/>
        <v>-0.8145759520503358</v>
      </c>
      <c r="I5" s="11">
        <f aca="true" t="shared" si="13" ref="I5:I34">I4+1</f>
        <v>18338</v>
      </c>
      <c r="J5" s="3">
        <f t="shared" si="3"/>
        <v>0.9422609221188205</v>
      </c>
      <c r="K5" s="3">
        <f t="shared" si="4"/>
        <v>-0.4338837391175575</v>
      </c>
      <c r="L5" s="3">
        <f t="shared" si="5"/>
        <v>-0.9450008187146683</v>
      </c>
      <c r="N5" s="11">
        <f>N4+1</f>
        <v>21743</v>
      </c>
      <c r="O5" s="3">
        <f t="shared" si="6"/>
        <v>0.8169698930104421</v>
      </c>
      <c r="P5" s="3">
        <f>SIN(2*PI()*MOD(N5,28)/28)</f>
        <v>-0.22252093395631384</v>
      </c>
      <c r="Q5" s="3">
        <f>SIN(2*PI()*MOD(N5,33)/33)</f>
        <v>-0.690079011482112</v>
      </c>
      <c r="S5" s="11">
        <f>S4+1</f>
        <v>26857</v>
      </c>
      <c r="T5" s="3">
        <f t="shared" si="7"/>
        <v>-0.9422609221188204</v>
      </c>
      <c r="U5" s="3">
        <f>SIN(2*PI()*MOD(S5,28)/28)</f>
        <v>0.9009688679024191</v>
      </c>
      <c r="V5" s="3">
        <f>SIN(2*PI()*MOD(S5,33)/33)</f>
        <v>-0.8145759520503358</v>
      </c>
      <c r="X5" s="11">
        <f aca="true" t="shared" si="14" ref="X5:X34">X4+1</f>
        <v>23858</v>
      </c>
      <c r="Y5" s="3">
        <f t="shared" si="8"/>
        <v>0.9422609221188205</v>
      </c>
      <c r="Z5" s="3">
        <f aca="true" t="shared" si="15" ref="Z5:Z34">SIN(2*PI()*MOD(X5,28)/28)</f>
        <v>0.4338837391175581</v>
      </c>
      <c r="AA5" s="3">
        <f aca="true" t="shared" si="16" ref="AA5:AA34">SIN(2*PI()*MOD(X5,33)/33)</f>
        <v>-0.18925124436041063</v>
      </c>
      <c r="AC5" s="11">
        <f aca="true" t="shared" si="17" ref="AC5:AC34">AC4+1</f>
        <v>23594</v>
      </c>
      <c r="AD5" s="3">
        <f t="shared" si="9"/>
        <v>-0.8878852184023756</v>
      </c>
      <c r="AE5" s="3">
        <f aca="true" t="shared" si="18" ref="AE5:AE34">SIN(2*PI()*MOD(AC5,28)/28)</f>
        <v>-0.7818314824680297</v>
      </c>
      <c r="AF5" s="3">
        <f aca="true" t="shared" si="19" ref="AF5:AF34">SIN(2*PI()*MOD(AC5,33)/33)</f>
        <v>-0.18925124436041063</v>
      </c>
      <c r="AH5" s="11">
        <f aca="true" t="shared" si="20" ref="AH5:AH34">AH4+1</f>
        <v>21864</v>
      </c>
      <c r="AI5" s="3">
        <f t="shared" si="10"/>
        <v>-0.6310879443260528</v>
      </c>
      <c r="AJ5" s="3">
        <f aca="true" t="shared" si="21" ref="AJ5:AJ34">SIN(2*PI()*MOD(AH5,28)/28)</f>
        <v>-0.7818314824680299</v>
      </c>
      <c r="AK5" s="3">
        <f aca="true" t="shared" si="22" ref="AK5:AK34">SIN(2*PI()*MOD(AH5,33)/33)</f>
        <v>-0.2817325568414294</v>
      </c>
      <c r="AM5" s="11">
        <f aca="true" t="shared" si="23" ref="AM5:AM34">AM4+1</f>
        <v>20701</v>
      </c>
      <c r="AN5" s="3">
        <f t="shared" si="11"/>
        <v>0.2697967711570243</v>
      </c>
      <c r="AO5" s="3">
        <f aca="true" t="shared" si="24" ref="AO5:AO34">SIN(2*PI()*MOD(AM5,28)/28)</f>
        <v>0.9009688679024191</v>
      </c>
      <c r="AP5" s="3">
        <f aca="true" t="shared" si="25" ref="AP5:AP34">SIN(2*PI()*MOD(AM5,33)/33)</f>
        <v>0.9450008187146685</v>
      </c>
    </row>
    <row r="6" spans="1:42" ht="17.25">
      <c r="A6" s="3">
        <f>WEEKDAY(DATE('対象指定ﾃﾞｰﾀ'!C$1,'対象指定ﾃﾞｰﾀ'!C$2,ROWS(D$4:D6)),3)</f>
        <v>3</v>
      </c>
      <c r="C6" s="3">
        <f>IF(A6=6,+"["&amp;FIXED(ROWS($D$4:D6),0,TRUE)&amp;"]",ROWS($D$4:D6))</f>
        <v>3</v>
      </c>
      <c r="D6" s="11">
        <f t="shared" si="12"/>
        <v>19235</v>
      </c>
      <c r="E6" s="3">
        <f t="shared" si="0"/>
        <v>0.9422609221188205</v>
      </c>
      <c r="F6" s="3">
        <f t="shared" si="1"/>
        <v>-0.22252093395631464</v>
      </c>
      <c r="G6" s="3">
        <f t="shared" si="2"/>
        <v>-0.690079011482112</v>
      </c>
      <c r="I6" s="11">
        <f t="shared" si="13"/>
        <v>18339</v>
      </c>
      <c r="J6" s="3">
        <f t="shared" si="3"/>
        <v>0.8169698930104421</v>
      </c>
      <c r="K6" s="3">
        <f t="shared" si="4"/>
        <v>-0.22252093395631464</v>
      </c>
      <c r="L6" s="3">
        <f t="shared" si="5"/>
        <v>-0.9898214418809327</v>
      </c>
      <c r="N6" s="11">
        <f aca="true" t="shared" si="26" ref="N6:N34">N5+1</f>
        <v>21744</v>
      </c>
      <c r="O6" s="3">
        <f t="shared" si="6"/>
        <v>0.631087944326053</v>
      </c>
      <c r="P6" s="3">
        <f aca="true" t="shared" si="27" ref="P6:P34">SIN(2*PI()*MOD(N6,28)/28)</f>
        <v>-0.433883739117558</v>
      </c>
      <c r="Q6" s="3">
        <f aca="true" t="shared" si="28" ref="Q6:Q34">SIN(2*PI()*MOD(N6,33)/33)</f>
        <v>-0.5406408174555982</v>
      </c>
      <c r="S6" s="11">
        <f aca="true" t="shared" si="29" ref="S6:S34">S5+1</f>
        <v>26858</v>
      </c>
      <c r="T6" s="3">
        <f t="shared" si="7"/>
        <v>-0.9976687691905393</v>
      </c>
      <c r="U6" s="3">
        <f aca="true" t="shared" si="30" ref="U6:U34">SIN(2*PI()*MOD(S6,28)/28)</f>
        <v>0.9749279121818236</v>
      </c>
      <c r="V6" s="3">
        <f aca="true" t="shared" si="31" ref="V6:V34">SIN(2*PI()*MOD(S6,33)/33)</f>
        <v>-0.690079011482112</v>
      </c>
      <c r="X6" s="11">
        <f t="shared" si="14"/>
        <v>23859</v>
      </c>
      <c r="Y6" s="3">
        <f t="shared" si="8"/>
        <v>0.8169698930104421</v>
      </c>
      <c r="Z6" s="3">
        <f t="shared" si="15"/>
        <v>0.6234898018587335</v>
      </c>
      <c r="AA6" s="3">
        <f t="shared" si="16"/>
        <v>0</v>
      </c>
      <c r="AC6" s="11">
        <f t="shared" si="17"/>
        <v>23595</v>
      </c>
      <c r="AD6" s="3">
        <f t="shared" si="9"/>
        <v>-0.730835964278124</v>
      </c>
      <c r="AE6" s="3">
        <f t="shared" si="18"/>
        <v>-0.900968867902419</v>
      </c>
      <c r="AF6" s="3">
        <f t="shared" si="19"/>
        <v>0</v>
      </c>
      <c r="AH6" s="11">
        <f t="shared" si="20"/>
        <v>21865</v>
      </c>
      <c r="AI6" s="3">
        <f t="shared" si="10"/>
        <v>-0.816969893010442</v>
      </c>
      <c r="AJ6" s="3">
        <f t="shared" si="21"/>
        <v>-0.6234898018587337</v>
      </c>
      <c r="AK6" s="3">
        <f t="shared" si="22"/>
        <v>-0.4582265217274099</v>
      </c>
      <c r="AM6" s="11">
        <f t="shared" si="23"/>
        <v>20702</v>
      </c>
      <c r="AN6" s="3">
        <f t="shared" si="11"/>
        <v>0.5195839500354336</v>
      </c>
      <c r="AO6" s="3">
        <f t="shared" si="24"/>
        <v>0.7818314824680299</v>
      </c>
      <c r="AP6" s="3">
        <f t="shared" si="25"/>
        <v>0.8660254037844387</v>
      </c>
    </row>
    <row r="7" spans="1:42" ht="17.25">
      <c r="A7" s="3">
        <f>WEEKDAY(DATE('対象指定ﾃﾞｰﾀ'!C$1,'対象指定ﾃﾞｰﾀ'!C$2,ROWS(D$4:D7)),3)</f>
        <v>4</v>
      </c>
      <c r="C7" s="3">
        <f>IF(A7=6,+"["&amp;FIXED(ROWS($D$4:D7),0,TRUE)&amp;"]",ROWS($D$4:D7))</f>
        <v>4</v>
      </c>
      <c r="D7" s="11">
        <f t="shared" si="12"/>
        <v>19236</v>
      </c>
      <c r="E7" s="3">
        <f t="shared" si="0"/>
        <v>0.8169698930104421</v>
      </c>
      <c r="F7" s="3">
        <f t="shared" si="1"/>
        <v>0</v>
      </c>
      <c r="G7" s="3">
        <f t="shared" si="2"/>
        <v>-0.5406408174555982</v>
      </c>
      <c r="I7" s="11">
        <f t="shared" si="13"/>
        <v>18340</v>
      </c>
      <c r="J7" s="3">
        <f t="shared" si="3"/>
        <v>0.631087944326053</v>
      </c>
      <c r="K7" s="3">
        <f t="shared" si="4"/>
        <v>0</v>
      </c>
      <c r="L7" s="3">
        <f t="shared" si="5"/>
        <v>-0.998867339183008</v>
      </c>
      <c r="N7" s="11">
        <f t="shared" si="26"/>
        <v>21745</v>
      </c>
      <c r="O7" s="3">
        <f t="shared" si="6"/>
        <v>0.3984010898462414</v>
      </c>
      <c r="P7" s="3">
        <f t="shared" si="27"/>
        <v>-0.6234898018587338</v>
      </c>
      <c r="Q7" s="3">
        <f t="shared" si="28"/>
        <v>-0.3716624556603281</v>
      </c>
      <c r="S7" s="11">
        <f t="shared" si="29"/>
        <v>26859</v>
      </c>
      <c r="T7" s="3">
        <f t="shared" si="7"/>
        <v>-0.979084087682323</v>
      </c>
      <c r="U7" s="3">
        <f t="shared" si="30"/>
        <v>1</v>
      </c>
      <c r="V7" s="3">
        <f t="shared" si="31"/>
        <v>-0.5406408174555982</v>
      </c>
      <c r="X7" s="11">
        <f t="shared" si="14"/>
        <v>23860</v>
      </c>
      <c r="Y7" s="3">
        <f t="shared" si="8"/>
        <v>0.631087944326053</v>
      </c>
      <c r="Z7" s="3">
        <f t="shared" si="15"/>
        <v>0.7818314824680298</v>
      </c>
      <c r="AA7" s="3">
        <f t="shared" si="16"/>
        <v>0.1892512443604102</v>
      </c>
      <c r="AC7" s="11">
        <f t="shared" si="17"/>
        <v>23596</v>
      </c>
      <c r="AD7" s="3">
        <f t="shared" si="9"/>
        <v>-0.5195839500354336</v>
      </c>
      <c r="AE7" s="3">
        <f t="shared" si="18"/>
        <v>-0.9749279121818236</v>
      </c>
      <c r="AF7" s="3">
        <f t="shared" si="19"/>
        <v>0.1892512443604102</v>
      </c>
      <c r="AH7" s="11">
        <f t="shared" si="20"/>
        <v>21866</v>
      </c>
      <c r="AI7" s="3">
        <f t="shared" si="10"/>
        <v>-0.9422609221188204</v>
      </c>
      <c r="AJ7" s="3">
        <f t="shared" si="21"/>
        <v>-0.4338837391175575</v>
      </c>
      <c r="AK7" s="3">
        <f t="shared" si="22"/>
        <v>-0.6181589862206053</v>
      </c>
      <c r="AM7" s="11">
        <f t="shared" si="23"/>
        <v>20703</v>
      </c>
      <c r="AN7" s="3">
        <f t="shared" si="11"/>
        <v>0.730835964278124</v>
      </c>
      <c r="AO7" s="3">
        <f t="shared" si="24"/>
        <v>0.6234898018587339</v>
      </c>
      <c r="AP7" s="3">
        <f t="shared" si="25"/>
        <v>0.7557495743542583</v>
      </c>
    </row>
    <row r="8" spans="1:42" ht="17.25">
      <c r="A8" s="3">
        <f>WEEKDAY(DATE('対象指定ﾃﾞｰﾀ'!C$1,'対象指定ﾃﾞｰﾀ'!C$2,ROWS(D$4:D8)),3)</f>
        <v>5</v>
      </c>
      <c r="C8" s="3">
        <f>IF(A8=6,+"["&amp;FIXED(ROWS($D$4:D8),0,TRUE)&amp;"]",ROWS($D$4:D8))</f>
        <v>5</v>
      </c>
      <c r="D8" s="11">
        <f t="shared" si="12"/>
        <v>19237</v>
      </c>
      <c r="E8" s="3">
        <f t="shared" si="0"/>
        <v>0.631087944326053</v>
      </c>
      <c r="F8" s="3">
        <f t="shared" si="1"/>
        <v>0.2225209339563144</v>
      </c>
      <c r="G8" s="3">
        <f t="shared" si="2"/>
        <v>-0.3716624556603281</v>
      </c>
      <c r="I8" s="11">
        <f t="shared" si="13"/>
        <v>18341</v>
      </c>
      <c r="J8" s="3">
        <f t="shared" si="3"/>
        <v>0.3984010898462414</v>
      </c>
      <c r="K8" s="3">
        <f t="shared" si="4"/>
        <v>0.2225209339563144</v>
      </c>
      <c r="L8" s="3">
        <f t="shared" si="5"/>
        <v>-0.9718115683235417</v>
      </c>
      <c r="N8" s="11">
        <f t="shared" si="26"/>
        <v>21746</v>
      </c>
      <c r="O8" s="3">
        <f t="shared" si="6"/>
        <v>0.1361666490962471</v>
      </c>
      <c r="P8" s="3">
        <f t="shared" si="27"/>
        <v>-0.7818314824680297</v>
      </c>
      <c r="Q8" s="3">
        <f t="shared" si="28"/>
        <v>-0.18925124436041063</v>
      </c>
      <c r="S8" s="11">
        <f t="shared" si="29"/>
        <v>26860</v>
      </c>
      <c r="T8" s="3">
        <f t="shared" si="7"/>
        <v>-0.8878852184023756</v>
      </c>
      <c r="U8" s="3">
        <f t="shared" si="30"/>
        <v>0.9749279121818236</v>
      </c>
      <c r="V8" s="3">
        <f t="shared" si="31"/>
        <v>-0.3716624556603281</v>
      </c>
      <c r="X8" s="11">
        <f t="shared" si="14"/>
        <v>23861</v>
      </c>
      <c r="Y8" s="3">
        <f t="shared" si="8"/>
        <v>0.3984010898462414</v>
      </c>
      <c r="Z8" s="3">
        <f t="shared" si="15"/>
        <v>0.9009688679024191</v>
      </c>
      <c r="AA8" s="3">
        <f t="shared" si="16"/>
        <v>0.3716624556603275</v>
      </c>
      <c r="AC8" s="11">
        <f t="shared" si="17"/>
        <v>23597</v>
      </c>
      <c r="AD8" s="3">
        <f t="shared" si="9"/>
        <v>-0.2697967711570252</v>
      </c>
      <c r="AE8" s="3">
        <f t="shared" si="18"/>
        <v>-1</v>
      </c>
      <c r="AF8" s="3">
        <f t="shared" si="19"/>
        <v>0.3716624556603275</v>
      </c>
      <c r="AH8" s="11">
        <f t="shared" si="20"/>
        <v>21867</v>
      </c>
      <c r="AI8" s="3">
        <f t="shared" si="10"/>
        <v>-0.9976687691905393</v>
      </c>
      <c r="AJ8" s="3">
        <f t="shared" si="21"/>
        <v>-0.22252093395631464</v>
      </c>
      <c r="AK8" s="3">
        <f t="shared" si="22"/>
        <v>-0.7557495743542585</v>
      </c>
      <c r="AM8" s="11">
        <f t="shared" si="23"/>
        <v>20704</v>
      </c>
      <c r="AN8" s="3">
        <f t="shared" si="11"/>
        <v>0.8878852184023752</v>
      </c>
      <c r="AO8" s="3">
        <f t="shared" si="24"/>
        <v>0.43388373911755823</v>
      </c>
      <c r="AP8" s="3">
        <f t="shared" si="25"/>
        <v>0.6181589862206051</v>
      </c>
    </row>
    <row r="9" spans="1:42" ht="17.25">
      <c r="A9" s="3">
        <f>WEEKDAY(DATE('対象指定ﾃﾞｰﾀ'!C$1,'対象指定ﾃﾞｰﾀ'!C$2,ROWS(D$4:D9)),3)</f>
        <v>6</v>
      </c>
      <c r="C9" s="3" t="str">
        <f>IF(A9=6,+"["&amp;FIXED(ROWS($D$4:D9),0,TRUE)&amp;"]",ROWS($D$4:D9))</f>
        <v>[6]</v>
      </c>
      <c r="D9" s="11">
        <f t="shared" si="12"/>
        <v>19238</v>
      </c>
      <c r="E9" s="3">
        <f t="shared" si="0"/>
        <v>0.3984010898462414</v>
      </c>
      <c r="F9" s="3">
        <f t="shared" si="1"/>
        <v>0.4338837391175581</v>
      </c>
      <c r="G9" s="3">
        <f t="shared" si="2"/>
        <v>-0.18925124436041063</v>
      </c>
      <c r="I9" s="11">
        <f t="shared" si="13"/>
        <v>18342</v>
      </c>
      <c r="J9" s="3">
        <f t="shared" si="3"/>
        <v>0.1361666490962471</v>
      </c>
      <c r="K9" s="3">
        <f t="shared" si="4"/>
        <v>0.4338837391175581</v>
      </c>
      <c r="L9" s="3">
        <f t="shared" si="5"/>
        <v>-0.9096319953545186</v>
      </c>
      <c r="N9" s="11">
        <f t="shared" si="26"/>
        <v>21747</v>
      </c>
      <c r="O9" s="3">
        <f t="shared" si="6"/>
        <v>-0.1361666490962464</v>
      </c>
      <c r="P9" s="3">
        <f t="shared" si="27"/>
        <v>-0.900968867902419</v>
      </c>
      <c r="Q9" s="3">
        <f t="shared" si="28"/>
        <v>0</v>
      </c>
      <c r="S9" s="11">
        <f t="shared" si="29"/>
        <v>26861</v>
      </c>
      <c r="T9" s="3">
        <f t="shared" si="7"/>
        <v>-0.730835964278124</v>
      </c>
      <c r="U9" s="3">
        <f t="shared" si="30"/>
        <v>0.9009688679024191</v>
      </c>
      <c r="V9" s="3">
        <f t="shared" si="31"/>
        <v>-0.18925124436041063</v>
      </c>
      <c r="X9" s="11">
        <f t="shared" si="14"/>
        <v>23862</v>
      </c>
      <c r="Y9" s="3">
        <f t="shared" si="8"/>
        <v>0.1361666490962471</v>
      </c>
      <c r="Z9" s="3">
        <f t="shared" si="15"/>
        <v>0.9749279121818236</v>
      </c>
      <c r="AA9" s="3">
        <f t="shared" si="16"/>
        <v>0.5406408174555976</v>
      </c>
      <c r="AC9" s="11">
        <f t="shared" si="17"/>
        <v>23598</v>
      </c>
      <c r="AD9" s="3">
        <f t="shared" si="9"/>
        <v>0</v>
      </c>
      <c r="AE9" s="3">
        <f t="shared" si="18"/>
        <v>-0.9749279121818238</v>
      </c>
      <c r="AF9" s="3">
        <f t="shared" si="19"/>
        <v>0.5406408174555976</v>
      </c>
      <c r="AH9" s="11">
        <f t="shared" si="20"/>
        <v>21868</v>
      </c>
      <c r="AI9" s="3">
        <f t="shared" si="10"/>
        <v>-0.979084087682323</v>
      </c>
      <c r="AJ9" s="3">
        <f t="shared" si="21"/>
        <v>0</v>
      </c>
      <c r="AK9" s="3">
        <f t="shared" si="22"/>
        <v>-0.8660254037844384</v>
      </c>
      <c r="AM9" s="11">
        <f t="shared" si="23"/>
        <v>20705</v>
      </c>
      <c r="AN9" s="3">
        <f t="shared" si="11"/>
        <v>0.9790840876823229</v>
      </c>
      <c r="AO9" s="3">
        <f t="shared" si="24"/>
        <v>0.2225209339563141</v>
      </c>
      <c r="AP9" s="3">
        <f t="shared" si="25"/>
        <v>0.4582265217274105</v>
      </c>
    </row>
    <row r="10" spans="1:42" ht="17.25">
      <c r="A10" s="3">
        <f>WEEKDAY(DATE('対象指定ﾃﾞｰﾀ'!C$1,'対象指定ﾃﾞｰﾀ'!C$2,ROWS(D$4:D10)),3)</f>
        <v>0</v>
      </c>
      <c r="C10" s="3">
        <f>IF(A10=6,+"["&amp;FIXED(ROWS($D$4:D10),0,TRUE)&amp;"]",ROWS($D$4:D10))</f>
        <v>7</v>
      </c>
      <c r="D10" s="11">
        <f t="shared" si="12"/>
        <v>19239</v>
      </c>
      <c r="E10" s="3">
        <f t="shared" si="0"/>
        <v>0.1361666490962471</v>
      </c>
      <c r="F10" s="3">
        <f t="shared" si="1"/>
        <v>0.6234898018587335</v>
      </c>
      <c r="G10" s="3">
        <f t="shared" si="2"/>
        <v>0</v>
      </c>
      <c r="I10" s="11">
        <f t="shared" si="13"/>
        <v>18343</v>
      </c>
      <c r="J10" s="3">
        <f t="shared" si="3"/>
        <v>-0.1361666490962464</v>
      </c>
      <c r="K10" s="3">
        <f t="shared" si="4"/>
        <v>0.6234898018587335</v>
      </c>
      <c r="L10" s="3">
        <f t="shared" si="5"/>
        <v>-0.8145759520503358</v>
      </c>
      <c r="N10" s="11">
        <f t="shared" si="26"/>
        <v>21748</v>
      </c>
      <c r="O10" s="3">
        <f t="shared" si="6"/>
        <v>-0.39840108984624156</v>
      </c>
      <c r="P10" s="3">
        <f t="shared" si="27"/>
        <v>-0.9749279121818236</v>
      </c>
      <c r="Q10" s="3">
        <f t="shared" si="28"/>
        <v>0.1892512443604102</v>
      </c>
      <c r="S10" s="11">
        <f t="shared" si="29"/>
        <v>26862</v>
      </c>
      <c r="T10" s="3">
        <f t="shared" si="7"/>
        <v>-0.5195839500354336</v>
      </c>
      <c r="U10" s="3">
        <f t="shared" si="30"/>
        <v>0.7818314824680299</v>
      </c>
      <c r="V10" s="3">
        <f t="shared" si="31"/>
        <v>0</v>
      </c>
      <c r="X10" s="11">
        <f t="shared" si="14"/>
        <v>23863</v>
      </c>
      <c r="Y10" s="3">
        <f t="shared" si="8"/>
        <v>-0.1361666490962464</v>
      </c>
      <c r="Z10" s="3">
        <f t="shared" si="15"/>
        <v>1</v>
      </c>
      <c r="AA10" s="3">
        <f t="shared" si="16"/>
        <v>0.6900790114821119</v>
      </c>
      <c r="AC10" s="11">
        <f t="shared" si="17"/>
        <v>23599</v>
      </c>
      <c r="AD10" s="3">
        <f t="shared" si="9"/>
        <v>0.2697967711570243</v>
      </c>
      <c r="AE10" s="3">
        <f t="shared" si="18"/>
        <v>-0.9009688679024193</v>
      </c>
      <c r="AF10" s="3">
        <f t="shared" si="19"/>
        <v>0.6900790114821119</v>
      </c>
      <c r="AH10" s="11">
        <f t="shared" si="20"/>
        <v>21869</v>
      </c>
      <c r="AI10" s="3">
        <f t="shared" si="10"/>
        <v>-0.8878852184023756</v>
      </c>
      <c r="AJ10" s="3">
        <f t="shared" si="21"/>
        <v>0.2225209339563144</v>
      </c>
      <c r="AK10" s="3">
        <f t="shared" si="22"/>
        <v>-0.9450008187146683</v>
      </c>
      <c r="AM10" s="11">
        <f t="shared" si="23"/>
        <v>20706</v>
      </c>
      <c r="AN10" s="3">
        <f t="shared" si="11"/>
        <v>0.9976687691905392</v>
      </c>
      <c r="AO10" s="3">
        <f t="shared" si="24"/>
        <v>1.22514845490862E-16</v>
      </c>
      <c r="AP10" s="3">
        <f t="shared" si="25"/>
        <v>0.28173255684143006</v>
      </c>
    </row>
    <row r="11" spans="1:42" ht="17.25">
      <c r="A11" s="3">
        <f>WEEKDAY(DATE('対象指定ﾃﾞｰﾀ'!C$1,'対象指定ﾃﾞｰﾀ'!C$2,ROWS(D$4:D11)),3)</f>
        <v>1</v>
      </c>
      <c r="C11" s="3">
        <f>IF(A11=6,+"["&amp;FIXED(ROWS($D$4:D11),0,TRUE)&amp;"]",ROWS($D$4:D11))</f>
        <v>8</v>
      </c>
      <c r="D11" s="11">
        <f t="shared" si="12"/>
        <v>19240</v>
      </c>
      <c r="E11" s="3">
        <f t="shared" si="0"/>
        <v>-0.1361666490962464</v>
      </c>
      <c r="F11" s="3">
        <f t="shared" si="1"/>
        <v>0.7818314824680298</v>
      </c>
      <c r="G11" s="3">
        <f t="shared" si="2"/>
        <v>0.1892512443604102</v>
      </c>
      <c r="I11" s="11">
        <f t="shared" si="13"/>
        <v>18344</v>
      </c>
      <c r="J11" s="3">
        <f t="shared" si="3"/>
        <v>-0.39840108984624156</v>
      </c>
      <c r="K11" s="3">
        <f t="shared" si="4"/>
        <v>0.7818314824680298</v>
      </c>
      <c r="L11" s="3">
        <f t="shared" si="5"/>
        <v>-0.690079011482112</v>
      </c>
      <c r="N11" s="11">
        <f t="shared" si="26"/>
        <v>21749</v>
      </c>
      <c r="O11" s="3">
        <f t="shared" si="6"/>
        <v>-0.6310879443260528</v>
      </c>
      <c r="P11" s="3">
        <f t="shared" si="27"/>
        <v>-1</v>
      </c>
      <c r="Q11" s="3">
        <f t="shared" si="28"/>
        <v>0.3716624556603275</v>
      </c>
      <c r="S11" s="11">
        <f t="shared" si="29"/>
        <v>26863</v>
      </c>
      <c r="T11" s="3">
        <f t="shared" si="7"/>
        <v>-0.2697967711570252</v>
      </c>
      <c r="U11" s="3">
        <f t="shared" si="30"/>
        <v>0.6234898018587339</v>
      </c>
      <c r="V11" s="3">
        <f t="shared" si="31"/>
        <v>0.1892512443604102</v>
      </c>
      <c r="X11" s="11">
        <f t="shared" si="14"/>
        <v>23864</v>
      </c>
      <c r="Y11" s="3">
        <f t="shared" si="8"/>
        <v>-0.39840108984624156</v>
      </c>
      <c r="Z11" s="3">
        <f t="shared" si="15"/>
        <v>0.9749279121818236</v>
      </c>
      <c r="AA11" s="3">
        <f t="shared" si="16"/>
        <v>0.8145759520503357</v>
      </c>
      <c r="AC11" s="11">
        <f t="shared" si="17"/>
        <v>23600</v>
      </c>
      <c r="AD11" s="3">
        <f t="shared" si="9"/>
        <v>0.5195839500354336</v>
      </c>
      <c r="AE11" s="3">
        <f t="shared" si="18"/>
        <v>-0.7818314824680299</v>
      </c>
      <c r="AF11" s="3">
        <f t="shared" si="19"/>
        <v>0.8145759520503357</v>
      </c>
      <c r="AH11" s="11">
        <f t="shared" si="20"/>
        <v>21870</v>
      </c>
      <c r="AI11" s="3">
        <f t="shared" si="10"/>
        <v>-0.730835964278124</v>
      </c>
      <c r="AJ11" s="3">
        <f t="shared" si="21"/>
        <v>0.4338837391175581</v>
      </c>
      <c r="AK11" s="3">
        <f t="shared" si="22"/>
        <v>-0.9898214418809327</v>
      </c>
      <c r="AM11" s="11">
        <f t="shared" si="23"/>
        <v>20707</v>
      </c>
      <c r="AN11" s="3">
        <f t="shared" si="11"/>
        <v>0.9422609221188205</v>
      </c>
      <c r="AO11" s="3">
        <f t="shared" si="24"/>
        <v>-0.22252093395631384</v>
      </c>
      <c r="AP11" s="3">
        <f t="shared" si="25"/>
        <v>0.09505604330418288</v>
      </c>
    </row>
    <row r="12" spans="1:42" ht="17.25">
      <c r="A12" s="3">
        <f>WEEKDAY(DATE('対象指定ﾃﾞｰﾀ'!C$1,'対象指定ﾃﾞｰﾀ'!C$2,ROWS(D$4:D12)),3)</f>
        <v>2</v>
      </c>
      <c r="C12" s="3">
        <f>IF(A12=6,+"["&amp;FIXED(ROWS($D$4:D12),0,TRUE)&amp;"]",ROWS($D$4:D12))</f>
        <v>9</v>
      </c>
      <c r="D12" s="11">
        <f t="shared" si="12"/>
        <v>19241</v>
      </c>
      <c r="E12" s="3">
        <f t="shared" si="0"/>
        <v>-0.39840108984624156</v>
      </c>
      <c r="F12" s="3">
        <f t="shared" si="1"/>
        <v>0.9009688679024191</v>
      </c>
      <c r="G12" s="3">
        <f t="shared" si="2"/>
        <v>0.3716624556603275</v>
      </c>
      <c r="I12" s="11">
        <f t="shared" si="13"/>
        <v>18345</v>
      </c>
      <c r="J12" s="3">
        <f t="shared" si="3"/>
        <v>-0.6310879443260528</v>
      </c>
      <c r="K12" s="3">
        <f t="shared" si="4"/>
        <v>0.9009688679024191</v>
      </c>
      <c r="L12" s="3">
        <f t="shared" si="5"/>
        <v>-0.5406408174555982</v>
      </c>
      <c r="N12" s="11">
        <f t="shared" si="26"/>
        <v>21750</v>
      </c>
      <c r="O12" s="3">
        <f t="shared" si="6"/>
        <v>-0.816969893010442</v>
      </c>
      <c r="P12" s="3">
        <f t="shared" si="27"/>
        <v>-0.9749279121818238</v>
      </c>
      <c r="Q12" s="3">
        <f t="shared" si="28"/>
        <v>0.5406408174555976</v>
      </c>
      <c r="S12" s="11">
        <f t="shared" si="29"/>
        <v>26864</v>
      </c>
      <c r="T12" s="3">
        <f t="shared" si="7"/>
        <v>0</v>
      </c>
      <c r="U12" s="3">
        <f t="shared" si="30"/>
        <v>0.43388373911755823</v>
      </c>
      <c r="V12" s="3">
        <f t="shared" si="31"/>
        <v>0.3716624556603275</v>
      </c>
      <c r="X12" s="11">
        <f t="shared" si="14"/>
        <v>23865</v>
      </c>
      <c r="Y12" s="3">
        <f t="shared" si="8"/>
        <v>-0.6310879443260528</v>
      </c>
      <c r="Z12" s="3">
        <f t="shared" si="15"/>
        <v>0.9009688679024191</v>
      </c>
      <c r="AA12" s="3">
        <f t="shared" si="16"/>
        <v>0.9096319953545183</v>
      </c>
      <c r="AC12" s="11">
        <f t="shared" si="17"/>
        <v>23601</v>
      </c>
      <c r="AD12" s="3">
        <f t="shared" si="9"/>
        <v>0.730835964278124</v>
      </c>
      <c r="AE12" s="3">
        <f t="shared" si="18"/>
        <v>-0.6234898018587337</v>
      </c>
      <c r="AF12" s="3">
        <f t="shared" si="19"/>
        <v>0.9096319953545183</v>
      </c>
      <c r="AH12" s="11">
        <f t="shared" si="20"/>
        <v>21871</v>
      </c>
      <c r="AI12" s="3">
        <f t="shared" si="10"/>
        <v>-0.5195839500354336</v>
      </c>
      <c r="AJ12" s="3">
        <f t="shared" si="21"/>
        <v>0.6234898018587335</v>
      </c>
      <c r="AK12" s="3">
        <f t="shared" si="22"/>
        <v>-0.998867339183008</v>
      </c>
      <c r="AM12" s="11">
        <f t="shared" si="23"/>
        <v>20708</v>
      </c>
      <c r="AN12" s="3">
        <f t="shared" si="11"/>
        <v>0.8169698930104421</v>
      </c>
      <c r="AO12" s="3">
        <f t="shared" si="24"/>
        <v>-0.433883739117558</v>
      </c>
      <c r="AP12" s="3">
        <f t="shared" si="25"/>
        <v>-0.09505604330418263</v>
      </c>
    </row>
    <row r="13" spans="1:42" ht="17.25">
      <c r="A13" s="3">
        <f>WEEKDAY(DATE('対象指定ﾃﾞｰﾀ'!C$1,'対象指定ﾃﾞｰﾀ'!C$2,ROWS(D$4:D13)),3)</f>
        <v>3</v>
      </c>
      <c r="C13" s="3">
        <f>IF(A13=6,+"["&amp;FIXED(ROWS($D$4:D13),0,TRUE)&amp;"]",ROWS($D$4:D13))</f>
        <v>10</v>
      </c>
      <c r="D13" s="11">
        <f t="shared" si="12"/>
        <v>19242</v>
      </c>
      <c r="E13" s="3">
        <f t="shared" si="0"/>
        <v>-0.6310879443260528</v>
      </c>
      <c r="F13" s="3">
        <f t="shared" si="1"/>
        <v>0.9749279121818236</v>
      </c>
      <c r="G13" s="3">
        <f t="shared" si="2"/>
        <v>0.5406408174555976</v>
      </c>
      <c r="I13" s="11">
        <f t="shared" si="13"/>
        <v>18346</v>
      </c>
      <c r="J13" s="3">
        <f t="shared" si="3"/>
        <v>-0.816969893010442</v>
      </c>
      <c r="K13" s="3">
        <f t="shared" si="4"/>
        <v>0.9749279121818236</v>
      </c>
      <c r="L13" s="3">
        <f t="shared" si="5"/>
        <v>-0.3716624556603281</v>
      </c>
      <c r="N13" s="11">
        <f t="shared" si="26"/>
        <v>21751</v>
      </c>
      <c r="O13" s="3">
        <f t="shared" si="6"/>
        <v>-0.9422609221188204</v>
      </c>
      <c r="P13" s="3">
        <f t="shared" si="27"/>
        <v>-0.9009688679024193</v>
      </c>
      <c r="Q13" s="3">
        <f t="shared" si="28"/>
        <v>0.6900790114821119</v>
      </c>
      <c r="S13" s="11">
        <f t="shared" si="29"/>
        <v>26865</v>
      </c>
      <c r="T13" s="3">
        <f t="shared" si="7"/>
        <v>0.2697967711570243</v>
      </c>
      <c r="U13" s="3">
        <f t="shared" si="30"/>
        <v>0.2225209339563141</v>
      </c>
      <c r="V13" s="3">
        <f t="shared" si="31"/>
        <v>0.5406408174555976</v>
      </c>
      <c r="X13" s="11">
        <f t="shared" si="14"/>
        <v>23866</v>
      </c>
      <c r="Y13" s="3">
        <f t="shared" si="8"/>
        <v>-0.816969893010442</v>
      </c>
      <c r="Z13" s="3">
        <f t="shared" si="15"/>
        <v>0.7818314824680299</v>
      </c>
      <c r="AA13" s="3">
        <f t="shared" si="16"/>
        <v>0.9718115683235417</v>
      </c>
      <c r="AC13" s="11">
        <f t="shared" si="17"/>
        <v>23602</v>
      </c>
      <c r="AD13" s="3">
        <f t="shared" si="9"/>
        <v>0.8878852184023752</v>
      </c>
      <c r="AE13" s="3">
        <f t="shared" si="18"/>
        <v>-0.4338837391175575</v>
      </c>
      <c r="AF13" s="3">
        <f t="shared" si="19"/>
        <v>0.9718115683235417</v>
      </c>
      <c r="AH13" s="11">
        <f t="shared" si="20"/>
        <v>21872</v>
      </c>
      <c r="AI13" s="3">
        <f t="shared" si="10"/>
        <v>-0.2697967711570252</v>
      </c>
      <c r="AJ13" s="3">
        <f t="shared" si="21"/>
        <v>0.7818314824680298</v>
      </c>
      <c r="AK13" s="3">
        <f t="shared" si="22"/>
        <v>-0.9718115683235417</v>
      </c>
      <c r="AM13" s="11">
        <f t="shared" si="23"/>
        <v>20709</v>
      </c>
      <c r="AN13" s="3">
        <f t="shared" si="11"/>
        <v>0.631087944326053</v>
      </c>
      <c r="AO13" s="3">
        <f t="shared" si="24"/>
        <v>-0.6234898018587338</v>
      </c>
      <c r="AP13" s="3">
        <f t="shared" si="25"/>
        <v>-0.2817325568414294</v>
      </c>
    </row>
    <row r="14" spans="1:42" ht="17.25">
      <c r="A14" s="3">
        <f>WEEKDAY(DATE('対象指定ﾃﾞｰﾀ'!C$1,'対象指定ﾃﾞｰﾀ'!C$2,ROWS(D$4:D14)),3)</f>
        <v>4</v>
      </c>
      <c r="C14" s="3">
        <f>IF(A14=6,+"["&amp;FIXED(ROWS($D$4:D14),0,TRUE)&amp;"]",ROWS($D$4:D14))</f>
        <v>11</v>
      </c>
      <c r="D14" s="11">
        <f t="shared" si="12"/>
        <v>19243</v>
      </c>
      <c r="E14" s="3">
        <f t="shared" si="0"/>
        <v>-0.816969893010442</v>
      </c>
      <c r="F14" s="3">
        <f t="shared" si="1"/>
        <v>1</v>
      </c>
      <c r="G14" s="3">
        <f t="shared" si="2"/>
        <v>0.6900790114821119</v>
      </c>
      <c r="I14" s="11">
        <f t="shared" si="13"/>
        <v>18347</v>
      </c>
      <c r="J14" s="3">
        <f t="shared" si="3"/>
        <v>-0.9422609221188204</v>
      </c>
      <c r="K14" s="3">
        <f t="shared" si="4"/>
        <v>1</v>
      </c>
      <c r="L14" s="3">
        <f t="shared" si="5"/>
        <v>-0.18925124436041063</v>
      </c>
      <c r="N14" s="11">
        <f t="shared" si="26"/>
        <v>21752</v>
      </c>
      <c r="O14" s="3">
        <f t="shared" si="6"/>
        <v>-0.9976687691905393</v>
      </c>
      <c r="P14" s="3">
        <f t="shared" si="27"/>
        <v>-0.7818314824680299</v>
      </c>
      <c r="Q14" s="3">
        <f t="shared" si="28"/>
        <v>0.8145759520503357</v>
      </c>
      <c r="S14" s="11">
        <f t="shared" si="29"/>
        <v>26866</v>
      </c>
      <c r="T14" s="3">
        <f t="shared" si="7"/>
        <v>0.5195839500354336</v>
      </c>
      <c r="U14" s="3">
        <f t="shared" si="30"/>
        <v>1.22514845490862E-16</v>
      </c>
      <c r="V14" s="3">
        <f t="shared" si="31"/>
        <v>0.6900790114821119</v>
      </c>
      <c r="X14" s="11">
        <f t="shared" si="14"/>
        <v>23867</v>
      </c>
      <c r="Y14" s="3">
        <f t="shared" si="8"/>
        <v>-0.9422609221188204</v>
      </c>
      <c r="Z14" s="3">
        <f t="shared" si="15"/>
        <v>0.6234898018587339</v>
      </c>
      <c r="AA14" s="3">
        <f t="shared" si="16"/>
        <v>0.998867339183008</v>
      </c>
      <c r="AC14" s="11">
        <f t="shared" si="17"/>
        <v>23603</v>
      </c>
      <c r="AD14" s="3">
        <f t="shared" si="9"/>
        <v>0.9790840876823229</v>
      </c>
      <c r="AE14" s="3">
        <f t="shared" si="18"/>
        <v>-0.22252093395631464</v>
      </c>
      <c r="AF14" s="3">
        <f t="shared" si="19"/>
        <v>0.998867339183008</v>
      </c>
      <c r="AH14" s="11">
        <f t="shared" si="20"/>
        <v>21873</v>
      </c>
      <c r="AI14" s="3">
        <f t="shared" si="10"/>
        <v>0</v>
      </c>
      <c r="AJ14" s="3">
        <f t="shared" si="21"/>
        <v>0.9009688679024191</v>
      </c>
      <c r="AK14" s="3">
        <f t="shared" si="22"/>
        <v>-0.9096319953545186</v>
      </c>
      <c r="AM14" s="11">
        <f t="shared" si="23"/>
        <v>20710</v>
      </c>
      <c r="AN14" s="3">
        <f t="shared" si="11"/>
        <v>0.3984010898462414</v>
      </c>
      <c r="AO14" s="3">
        <f t="shared" si="24"/>
        <v>-0.7818314824680297</v>
      </c>
      <c r="AP14" s="3">
        <f t="shared" si="25"/>
        <v>-0.4582265217274099</v>
      </c>
    </row>
    <row r="15" spans="1:42" ht="17.25">
      <c r="A15" s="3">
        <f>WEEKDAY(DATE('対象指定ﾃﾞｰﾀ'!C$1,'対象指定ﾃﾞｰﾀ'!C$2,ROWS(D$4:D15)),3)</f>
        <v>5</v>
      </c>
      <c r="C15" s="3">
        <f>IF(A15=6,+"["&amp;FIXED(ROWS($D$4:D15),0,TRUE)&amp;"]",ROWS($D$4:D15))</f>
        <v>12</v>
      </c>
      <c r="D15" s="11">
        <f t="shared" si="12"/>
        <v>19244</v>
      </c>
      <c r="E15" s="3">
        <f t="shared" si="0"/>
        <v>-0.9422609221188204</v>
      </c>
      <c r="F15" s="3">
        <f t="shared" si="1"/>
        <v>0.9749279121818236</v>
      </c>
      <c r="G15" s="3">
        <f t="shared" si="2"/>
        <v>0.8145759520503357</v>
      </c>
      <c r="I15" s="11">
        <f t="shared" si="13"/>
        <v>18348</v>
      </c>
      <c r="J15" s="3">
        <f t="shared" si="3"/>
        <v>-0.9976687691905393</v>
      </c>
      <c r="K15" s="3">
        <f t="shared" si="4"/>
        <v>0.9749279121818236</v>
      </c>
      <c r="L15" s="3">
        <f t="shared" si="5"/>
        <v>0</v>
      </c>
      <c r="N15" s="11">
        <f t="shared" si="26"/>
        <v>21753</v>
      </c>
      <c r="O15" s="3">
        <f t="shared" si="6"/>
        <v>-0.979084087682323</v>
      </c>
      <c r="P15" s="3">
        <f t="shared" si="27"/>
        <v>-0.6234898018587337</v>
      </c>
      <c r="Q15" s="3">
        <f t="shared" si="28"/>
        <v>0.9096319953545183</v>
      </c>
      <c r="S15" s="11">
        <f t="shared" si="29"/>
        <v>26867</v>
      </c>
      <c r="T15" s="3">
        <f t="shared" si="7"/>
        <v>0.730835964278124</v>
      </c>
      <c r="U15" s="3">
        <f t="shared" si="30"/>
        <v>-0.22252093395631384</v>
      </c>
      <c r="V15" s="3">
        <f t="shared" si="31"/>
        <v>0.8145759520503357</v>
      </c>
      <c r="X15" s="11">
        <f t="shared" si="14"/>
        <v>23868</v>
      </c>
      <c r="Y15" s="3">
        <f t="shared" si="8"/>
        <v>-0.9976687691905393</v>
      </c>
      <c r="Z15" s="3">
        <f t="shared" si="15"/>
        <v>0.43388373911755823</v>
      </c>
      <c r="AA15" s="3">
        <f t="shared" si="16"/>
        <v>0.9898214418809328</v>
      </c>
      <c r="AC15" s="11">
        <f t="shared" si="17"/>
        <v>23604</v>
      </c>
      <c r="AD15" s="3">
        <f t="shared" si="9"/>
        <v>0.9976687691905392</v>
      </c>
      <c r="AE15" s="3">
        <f t="shared" si="18"/>
        <v>0</v>
      </c>
      <c r="AF15" s="3">
        <f t="shared" si="19"/>
        <v>0.9898214418809328</v>
      </c>
      <c r="AH15" s="11">
        <f t="shared" si="20"/>
        <v>21874</v>
      </c>
      <c r="AI15" s="3">
        <f t="shared" si="10"/>
        <v>0.2697967711570243</v>
      </c>
      <c r="AJ15" s="3">
        <f t="shared" si="21"/>
        <v>0.9749279121818236</v>
      </c>
      <c r="AK15" s="3">
        <f t="shared" si="22"/>
        <v>-0.8145759520503358</v>
      </c>
      <c r="AM15" s="11">
        <f t="shared" si="23"/>
        <v>20711</v>
      </c>
      <c r="AN15" s="3">
        <f t="shared" si="11"/>
        <v>0.1361666490962471</v>
      </c>
      <c r="AO15" s="3">
        <f t="shared" si="24"/>
        <v>-0.900968867902419</v>
      </c>
      <c r="AP15" s="3">
        <f t="shared" si="25"/>
        <v>-0.6181589862206053</v>
      </c>
    </row>
    <row r="16" spans="1:42" ht="17.25">
      <c r="A16" s="3">
        <f>WEEKDAY(DATE('対象指定ﾃﾞｰﾀ'!C$1,'対象指定ﾃﾞｰﾀ'!C$2,ROWS(D$4:D16)),3)</f>
        <v>6</v>
      </c>
      <c r="C16" s="3" t="str">
        <f>IF(A16=6,+"["&amp;FIXED(ROWS($D$4:D16),0,TRUE)&amp;"]",ROWS($D$4:D16))</f>
        <v>[13]</v>
      </c>
      <c r="D16" s="11">
        <f t="shared" si="12"/>
        <v>19245</v>
      </c>
      <c r="E16" s="3">
        <f t="shared" si="0"/>
        <v>-0.9976687691905393</v>
      </c>
      <c r="F16" s="3">
        <f t="shared" si="1"/>
        <v>0.9009688679024191</v>
      </c>
      <c r="G16" s="3">
        <f t="shared" si="2"/>
        <v>0.9096319953545183</v>
      </c>
      <c r="I16" s="11">
        <f t="shared" si="13"/>
        <v>18349</v>
      </c>
      <c r="J16" s="3">
        <f t="shared" si="3"/>
        <v>-0.979084087682323</v>
      </c>
      <c r="K16" s="3">
        <f t="shared" si="4"/>
        <v>0.9009688679024191</v>
      </c>
      <c r="L16" s="3">
        <f t="shared" si="5"/>
        <v>0.1892512443604102</v>
      </c>
      <c r="N16" s="11">
        <f t="shared" si="26"/>
        <v>21754</v>
      </c>
      <c r="O16" s="3">
        <f t="shared" si="6"/>
        <v>-0.8878852184023756</v>
      </c>
      <c r="P16" s="3">
        <f t="shared" si="27"/>
        <v>-0.4338837391175575</v>
      </c>
      <c r="Q16" s="3">
        <f t="shared" si="28"/>
        <v>0.9718115683235417</v>
      </c>
      <c r="S16" s="11">
        <f t="shared" si="29"/>
        <v>26868</v>
      </c>
      <c r="T16" s="3">
        <f t="shared" si="7"/>
        <v>0.8878852184023752</v>
      </c>
      <c r="U16" s="3">
        <f t="shared" si="30"/>
        <v>-0.433883739117558</v>
      </c>
      <c r="V16" s="3">
        <f t="shared" si="31"/>
        <v>0.9096319953545183</v>
      </c>
      <c r="X16" s="11">
        <f t="shared" si="14"/>
        <v>23869</v>
      </c>
      <c r="Y16" s="3">
        <f t="shared" si="8"/>
        <v>-0.979084087682323</v>
      </c>
      <c r="Z16" s="3">
        <f t="shared" si="15"/>
        <v>0.2225209339563141</v>
      </c>
      <c r="AA16" s="3">
        <f t="shared" si="16"/>
        <v>0.9450008187146685</v>
      </c>
      <c r="AC16" s="11">
        <f t="shared" si="17"/>
        <v>23605</v>
      </c>
      <c r="AD16" s="3">
        <f t="shared" si="9"/>
        <v>0.9422609221188205</v>
      </c>
      <c r="AE16" s="3">
        <f t="shared" si="18"/>
        <v>0.2225209339563144</v>
      </c>
      <c r="AF16" s="3">
        <f t="shared" si="19"/>
        <v>0.9450008187146685</v>
      </c>
      <c r="AH16" s="11">
        <f t="shared" si="20"/>
        <v>21875</v>
      </c>
      <c r="AI16" s="3">
        <f t="shared" si="10"/>
        <v>0.5195839500354336</v>
      </c>
      <c r="AJ16" s="3">
        <f t="shared" si="21"/>
        <v>1</v>
      </c>
      <c r="AK16" s="3">
        <f t="shared" si="22"/>
        <v>-0.690079011482112</v>
      </c>
      <c r="AM16" s="11">
        <f t="shared" si="23"/>
        <v>20712</v>
      </c>
      <c r="AN16" s="3">
        <f t="shared" si="11"/>
        <v>-0.1361666490962464</v>
      </c>
      <c r="AO16" s="3">
        <f t="shared" si="24"/>
        <v>-0.9749279121818236</v>
      </c>
      <c r="AP16" s="3">
        <f t="shared" si="25"/>
        <v>-0.7557495743542585</v>
      </c>
    </row>
    <row r="17" spans="1:42" ht="17.25">
      <c r="A17" s="3">
        <f>WEEKDAY(DATE('対象指定ﾃﾞｰﾀ'!C$1,'対象指定ﾃﾞｰﾀ'!C$2,ROWS(D$4:D17)),3)</f>
        <v>0</v>
      </c>
      <c r="C17" s="3">
        <f>IF(A17=6,+"["&amp;FIXED(ROWS($D$4:D17),0,TRUE)&amp;"]",ROWS($D$4:D17))</f>
        <v>14</v>
      </c>
      <c r="D17" s="11">
        <f t="shared" si="12"/>
        <v>19246</v>
      </c>
      <c r="E17" s="3">
        <f t="shared" si="0"/>
        <v>-0.979084087682323</v>
      </c>
      <c r="F17" s="3">
        <f t="shared" si="1"/>
        <v>0.7818314824680299</v>
      </c>
      <c r="G17" s="3">
        <f t="shared" si="2"/>
        <v>0.9718115683235417</v>
      </c>
      <c r="I17" s="11">
        <f t="shared" si="13"/>
        <v>18350</v>
      </c>
      <c r="J17" s="3">
        <f t="shared" si="3"/>
        <v>-0.8878852184023756</v>
      </c>
      <c r="K17" s="3">
        <f t="shared" si="4"/>
        <v>0.7818314824680299</v>
      </c>
      <c r="L17" s="3">
        <f t="shared" si="5"/>
        <v>0.3716624556603275</v>
      </c>
      <c r="N17" s="11">
        <f t="shared" si="26"/>
        <v>21755</v>
      </c>
      <c r="O17" s="3">
        <f t="shared" si="6"/>
        <v>-0.730835964278124</v>
      </c>
      <c r="P17" s="3">
        <f t="shared" si="27"/>
        <v>-0.22252093395631464</v>
      </c>
      <c r="Q17" s="3">
        <f t="shared" si="28"/>
        <v>0.998867339183008</v>
      </c>
      <c r="S17" s="11">
        <f t="shared" si="29"/>
        <v>26869</v>
      </c>
      <c r="T17" s="3">
        <f t="shared" si="7"/>
        <v>0.9790840876823229</v>
      </c>
      <c r="U17" s="3">
        <f t="shared" si="30"/>
        <v>-0.6234898018587338</v>
      </c>
      <c r="V17" s="3">
        <f t="shared" si="31"/>
        <v>0.9718115683235417</v>
      </c>
      <c r="X17" s="11">
        <f t="shared" si="14"/>
        <v>23870</v>
      </c>
      <c r="Y17" s="3">
        <f t="shared" si="8"/>
        <v>-0.8878852184023756</v>
      </c>
      <c r="Z17" s="3">
        <f t="shared" si="15"/>
        <v>1.22514845490862E-16</v>
      </c>
      <c r="AA17" s="3">
        <f t="shared" si="16"/>
        <v>0.8660254037844387</v>
      </c>
      <c r="AC17" s="11">
        <f t="shared" si="17"/>
        <v>23606</v>
      </c>
      <c r="AD17" s="3">
        <f t="shared" si="9"/>
        <v>0.8169698930104421</v>
      </c>
      <c r="AE17" s="3">
        <f t="shared" si="18"/>
        <v>0.4338837391175581</v>
      </c>
      <c r="AF17" s="3">
        <f t="shared" si="19"/>
        <v>0.8660254037844387</v>
      </c>
      <c r="AH17" s="11">
        <f t="shared" si="20"/>
        <v>21876</v>
      </c>
      <c r="AI17" s="3">
        <f t="shared" si="10"/>
        <v>0.730835964278124</v>
      </c>
      <c r="AJ17" s="3">
        <f t="shared" si="21"/>
        <v>0.9749279121818236</v>
      </c>
      <c r="AK17" s="3">
        <f t="shared" si="22"/>
        <v>-0.5406408174555982</v>
      </c>
      <c r="AM17" s="11">
        <f t="shared" si="23"/>
        <v>20713</v>
      </c>
      <c r="AN17" s="3">
        <f t="shared" si="11"/>
        <v>-0.39840108984624156</v>
      </c>
      <c r="AO17" s="3">
        <f t="shared" si="24"/>
        <v>-1</v>
      </c>
      <c r="AP17" s="3">
        <f t="shared" si="25"/>
        <v>-0.8660254037844384</v>
      </c>
    </row>
    <row r="18" spans="1:42" ht="17.25">
      <c r="A18" s="3">
        <f>WEEKDAY(DATE('対象指定ﾃﾞｰﾀ'!C$1,'対象指定ﾃﾞｰﾀ'!C$2,ROWS(D$4:D18)),3)</f>
        <v>1</v>
      </c>
      <c r="C18" s="3">
        <f>IF(A18=6,+"["&amp;FIXED(ROWS($D$4:D18),0,TRUE)&amp;"]",ROWS($D$4:D18))</f>
        <v>15</v>
      </c>
      <c r="D18" s="11">
        <f t="shared" si="12"/>
        <v>19247</v>
      </c>
      <c r="E18" s="3">
        <f t="shared" si="0"/>
        <v>-0.8878852184023756</v>
      </c>
      <c r="F18" s="3">
        <f t="shared" si="1"/>
        <v>0.6234898018587339</v>
      </c>
      <c r="G18" s="3">
        <f t="shared" si="2"/>
        <v>0.998867339183008</v>
      </c>
      <c r="I18" s="11">
        <f t="shared" si="13"/>
        <v>18351</v>
      </c>
      <c r="J18" s="3">
        <f t="shared" si="3"/>
        <v>-0.730835964278124</v>
      </c>
      <c r="K18" s="3">
        <f t="shared" si="4"/>
        <v>0.6234898018587339</v>
      </c>
      <c r="L18" s="3">
        <f t="shared" si="5"/>
        <v>0.5406408174555976</v>
      </c>
      <c r="N18" s="11">
        <f t="shared" si="26"/>
        <v>21756</v>
      </c>
      <c r="O18" s="3">
        <f t="shared" si="6"/>
        <v>-0.5195839500354336</v>
      </c>
      <c r="P18" s="3">
        <f t="shared" si="27"/>
        <v>0</v>
      </c>
      <c r="Q18" s="3">
        <f t="shared" si="28"/>
        <v>0.9898214418809328</v>
      </c>
      <c r="S18" s="11">
        <f t="shared" si="29"/>
        <v>26870</v>
      </c>
      <c r="T18" s="3">
        <f t="shared" si="7"/>
        <v>0.9976687691905392</v>
      </c>
      <c r="U18" s="3">
        <f t="shared" si="30"/>
        <v>-0.7818314824680297</v>
      </c>
      <c r="V18" s="3">
        <f t="shared" si="31"/>
        <v>0.998867339183008</v>
      </c>
      <c r="X18" s="11">
        <f t="shared" si="14"/>
        <v>23871</v>
      </c>
      <c r="Y18" s="3">
        <f t="shared" si="8"/>
        <v>-0.730835964278124</v>
      </c>
      <c r="Z18" s="3">
        <f t="shared" si="15"/>
        <v>-0.22252093395631384</v>
      </c>
      <c r="AA18" s="3">
        <f t="shared" si="16"/>
        <v>0.7557495743542583</v>
      </c>
      <c r="AC18" s="11">
        <f t="shared" si="17"/>
        <v>23607</v>
      </c>
      <c r="AD18" s="3">
        <f t="shared" si="9"/>
        <v>0.631087944326053</v>
      </c>
      <c r="AE18" s="3">
        <f t="shared" si="18"/>
        <v>0.6234898018587335</v>
      </c>
      <c r="AF18" s="3">
        <f t="shared" si="19"/>
        <v>0.7557495743542583</v>
      </c>
      <c r="AH18" s="11">
        <f t="shared" si="20"/>
        <v>21877</v>
      </c>
      <c r="AI18" s="3">
        <f t="shared" si="10"/>
        <v>0.8878852184023752</v>
      </c>
      <c r="AJ18" s="3">
        <f t="shared" si="21"/>
        <v>0.9009688679024191</v>
      </c>
      <c r="AK18" s="3">
        <f t="shared" si="22"/>
        <v>-0.3716624556603281</v>
      </c>
      <c r="AM18" s="11">
        <f t="shared" si="23"/>
        <v>20714</v>
      </c>
      <c r="AN18" s="3">
        <f t="shared" si="11"/>
        <v>-0.6310879443260528</v>
      </c>
      <c r="AO18" s="3">
        <f t="shared" si="24"/>
        <v>-0.9749279121818238</v>
      </c>
      <c r="AP18" s="3">
        <f t="shared" si="25"/>
        <v>-0.9450008187146683</v>
      </c>
    </row>
    <row r="19" spans="1:42" ht="17.25">
      <c r="A19" s="3">
        <f>WEEKDAY(DATE('対象指定ﾃﾞｰﾀ'!C$1,'対象指定ﾃﾞｰﾀ'!C$2,ROWS(D$4:D19)),3)</f>
        <v>2</v>
      </c>
      <c r="C19" s="3">
        <f>IF(A19=6,+"["&amp;FIXED(ROWS($D$4:D19),0,TRUE)&amp;"]",ROWS($D$4:D19))</f>
        <v>16</v>
      </c>
      <c r="D19" s="11">
        <f t="shared" si="12"/>
        <v>19248</v>
      </c>
      <c r="E19" s="3">
        <f t="shared" si="0"/>
        <v>-0.730835964278124</v>
      </c>
      <c r="F19" s="3">
        <f t="shared" si="1"/>
        <v>0.43388373911755823</v>
      </c>
      <c r="G19" s="3">
        <f t="shared" si="2"/>
        <v>0.9898214418809328</v>
      </c>
      <c r="I19" s="11">
        <f t="shared" si="13"/>
        <v>18352</v>
      </c>
      <c r="J19" s="3">
        <f t="shared" si="3"/>
        <v>-0.5195839500354336</v>
      </c>
      <c r="K19" s="3">
        <f t="shared" si="4"/>
        <v>0.43388373911755823</v>
      </c>
      <c r="L19" s="3">
        <f t="shared" si="5"/>
        <v>0.6900790114821119</v>
      </c>
      <c r="N19" s="11">
        <f t="shared" si="26"/>
        <v>21757</v>
      </c>
      <c r="O19" s="3">
        <f t="shared" si="6"/>
        <v>-0.2697967711570252</v>
      </c>
      <c r="P19" s="3">
        <f t="shared" si="27"/>
        <v>0.2225209339563144</v>
      </c>
      <c r="Q19" s="3">
        <f t="shared" si="28"/>
        <v>0.9450008187146685</v>
      </c>
      <c r="S19" s="11">
        <f t="shared" si="29"/>
        <v>26871</v>
      </c>
      <c r="T19" s="3">
        <f t="shared" si="7"/>
        <v>0.9422609221188205</v>
      </c>
      <c r="U19" s="3">
        <f t="shared" si="30"/>
        <v>-0.900968867902419</v>
      </c>
      <c r="V19" s="3">
        <f t="shared" si="31"/>
        <v>0.9898214418809328</v>
      </c>
      <c r="X19" s="11">
        <f t="shared" si="14"/>
        <v>23872</v>
      </c>
      <c r="Y19" s="3">
        <f t="shared" si="8"/>
        <v>-0.5195839500354336</v>
      </c>
      <c r="Z19" s="3">
        <f t="shared" si="15"/>
        <v>-0.433883739117558</v>
      </c>
      <c r="AA19" s="3">
        <f t="shared" si="16"/>
        <v>0.6181589862206051</v>
      </c>
      <c r="AC19" s="11">
        <f t="shared" si="17"/>
        <v>23608</v>
      </c>
      <c r="AD19" s="3">
        <f t="shared" si="9"/>
        <v>0.3984010898462414</v>
      </c>
      <c r="AE19" s="3">
        <f t="shared" si="18"/>
        <v>0.7818314824680298</v>
      </c>
      <c r="AF19" s="3">
        <f t="shared" si="19"/>
        <v>0.6181589862206051</v>
      </c>
      <c r="AH19" s="11">
        <f t="shared" si="20"/>
        <v>21878</v>
      </c>
      <c r="AI19" s="3">
        <f t="shared" si="10"/>
        <v>0.9790840876823229</v>
      </c>
      <c r="AJ19" s="3">
        <f t="shared" si="21"/>
        <v>0.7818314824680299</v>
      </c>
      <c r="AK19" s="3">
        <f t="shared" si="22"/>
        <v>-0.18925124436041063</v>
      </c>
      <c r="AM19" s="11">
        <f t="shared" si="23"/>
        <v>20715</v>
      </c>
      <c r="AN19" s="3">
        <f t="shared" si="11"/>
        <v>-0.816969893010442</v>
      </c>
      <c r="AO19" s="3">
        <f t="shared" si="24"/>
        <v>-0.9009688679024193</v>
      </c>
      <c r="AP19" s="3">
        <f t="shared" si="25"/>
        <v>-0.9898214418809327</v>
      </c>
    </row>
    <row r="20" spans="1:42" ht="17.25">
      <c r="A20" s="3">
        <f>WEEKDAY(DATE('対象指定ﾃﾞｰﾀ'!C$1,'対象指定ﾃﾞｰﾀ'!C$2,ROWS(D$4:D20)),3)</f>
        <v>3</v>
      </c>
      <c r="C20" s="3">
        <f>IF(A20=6,+"["&amp;FIXED(ROWS($D$4:D20),0,TRUE)&amp;"]",ROWS($D$4:D20))</f>
        <v>17</v>
      </c>
      <c r="D20" s="11">
        <f t="shared" si="12"/>
        <v>19249</v>
      </c>
      <c r="E20" s="3">
        <f t="shared" si="0"/>
        <v>-0.5195839500354336</v>
      </c>
      <c r="F20" s="3">
        <f t="shared" si="1"/>
        <v>0.2225209339563141</v>
      </c>
      <c r="G20" s="3">
        <f t="shared" si="2"/>
        <v>0.9450008187146685</v>
      </c>
      <c r="I20" s="11">
        <f t="shared" si="13"/>
        <v>18353</v>
      </c>
      <c r="J20" s="3">
        <f t="shared" si="3"/>
        <v>-0.2697967711570252</v>
      </c>
      <c r="K20" s="3">
        <f t="shared" si="4"/>
        <v>0.2225209339563141</v>
      </c>
      <c r="L20" s="3">
        <f t="shared" si="5"/>
        <v>0.8145759520503357</v>
      </c>
      <c r="N20" s="11">
        <f t="shared" si="26"/>
        <v>21758</v>
      </c>
      <c r="O20" s="3">
        <f t="shared" si="6"/>
        <v>0</v>
      </c>
      <c r="P20" s="3">
        <f t="shared" si="27"/>
        <v>0.4338837391175581</v>
      </c>
      <c r="Q20" s="3">
        <f t="shared" si="28"/>
        <v>0.8660254037844387</v>
      </c>
      <c r="S20" s="11">
        <f t="shared" si="29"/>
        <v>26872</v>
      </c>
      <c r="T20" s="3">
        <f t="shared" si="7"/>
        <v>0.8169698930104421</v>
      </c>
      <c r="U20" s="3">
        <f t="shared" si="30"/>
        <v>-0.9749279121818236</v>
      </c>
      <c r="V20" s="3">
        <f t="shared" si="31"/>
        <v>0.9450008187146685</v>
      </c>
      <c r="X20" s="11">
        <f t="shared" si="14"/>
        <v>23873</v>
      </c>
      <c r="Y20" s="3">
        <f t="shared" si="8"/>
        <v>-0.2697967711570252</v>
      </c>
      <c r="Z20" s="3">
        <f t="shared" si="15"/>
        <v>-0.6234898018587338</v>
      </c>
      <c r="AA20" s="3">
        <f t="shared" si="16"/>
        <v>0.4582265217274105</v>
      </c>
      <c r="AC20" s="11">
        <f t="shared" si="17"/>
        <v>23609</v>
      </c>
      <c r="AD20" s="3">
        <f t="shared" si="9"/>
        <v>0.1361666490962471</v>
      </c>
      <c r="AE20" s="3">
        <f t="shared" si="18"/>
        <v>0.9009688679024191</v>
      </c>
      <c r="AF20" s="3">
        <f t="shared" si="19"/>
        <v>0.4582265217274105</v>
      </c>
      <c r="AH20" s="11">
        <f t="shared" si="20"/>
        <v>21879</v>
      </c>
      <c r="AI20" s="3">
        <f t="shared" si="10"/>
        <v>0.9976687691905392</v>
      </c>
      <c r="AJ20" s="3">
        <f t="shared" si="21"/>
        <v>0.6234898018587339</v>
      </c>
      <c r="AK20" s="3">
        <f t="shared" si="22"/>
        <v>0</v>
      </c>
      <c r="AM20" s="11">
        <f t="shared" si="23"/>
        <v>20716</v>
      </c>
      <c r="AN20" s="3">
        <f t="shared" si="11"/>
        <v>-0.9422609221188204</v>
      </c>
      <c r="AO20" s="3">
        <f t="shared" si="24"/>
        <v>-0.7818314824680299</v>
      </c>
      <c r="AP20" s="3">
        <f t="shared" si="25"/>
        <v>-0.998867339183008</v>
      </c>
    </row>
    <row r="21" spans="1:42" ht="17.25">
      <c r="A21" s="3">
        <f>WEEKDAY(DATE('対象指定ﾃﾞｰﾀ'!C$1,'対象指定ﾃﾞｰﾀ'!C$2,ROWS(D$4:D21)),3)</f>
        <v>4</v>
      </c>
      <c r="C21" s="3">
        <f>IF(A21=6,+"["&amp;FIXED(ROWS($D$4:D21),0,TRUE)&amp;"]",ROWS($D$4:D21))</f>
        <v>18</v>
      </c>
      <c r="D21" s="11">
        <f t="shared" si="12"/>
        <v>19250</v>
      </c>
      <c r="E21" s="3">
        <f t="shared" si="0"/>
        <v>-0.2697967711570252</v>
      </c>
      <c r="F21" s="3">
        <f t="shared" si="1"/>
        <v>1.22514845490862E-16</v>
      </c>
      <c r="G21" s="3">
        <f t="shared" si="2"/>
        <v>0.8660254037844387</v>
      </c>
      <c r="I21" s="11">
        <f t="shared" si="13"/>
        <v>18354</v>
      </c>
      <c r="J21" s="3">
        <f t="shared" si="3"/>
        <v>0</v>
      </c>
      <c r="K21" s="3">
        <f t="shared" si="4"/>
        <v>1.22514845490862E-16</v>
      </c>
      <c r="L21" s="3">
        <f t="shared" si="5"/>
        <v>0.9096319953545183</v>
      </c>
      <c r="N21" s="11">
        <f t="shared" si="26"/>
        <v>21759</v>
      </c>
      <c r="O21" s="3">
        <f t="shared" si="6"/>
        <v>0.2697967711570243</v>
      </c>
      <c r="P21" s="3">
        <f t="shared" si="27"/>
        <v>0.6234898018587335</v>
      </c>
      <c r="Q21" s="3">
        <f t="shared" si="28"/>
        <v>0.7557495743542583</v>
      </c>
      <c r="S21" s="11">
        <f t="shared" si="29"/>
        <v>26873</v>
      </c>
      <c r="T21" s="3">
        <f t="shared" si="7"/>
        <v>0.631087944326053</v>
      </c>
      <c r="U21" s="3">
        <f t="shared" si="30"/>
        <v>-1</v>
      </c>
      <c r="V21" s="3">
        <f t="shared" si="31"/>
        <v>0.8660254037844387</v>
      </c>
      <c r="X21" s="11">
        <f t="shared" si="14"/>
        <v>23874</v>
      </c>
      <c r="Y21" s="3">
        <f t="shared" si="8"/>
        <v>0</v>
      </c>
      <c r="Z21" s="3">
        <f t="shared" si="15"/>
        <v>-0.7818314824680297</v>
      </c>
      <c r="AA21" s="3">
        <f t="shared" si="16"/>
        <v>0.28173255684143006</v>
      </c>
      <c r="AC21" s="11">
        <f t="shared" si="17"/>
        <v>23610</v>
      </c>
      <c r="AD21" s="3">
        <f t="shared" si="9"/>
        <v>-0.1361666490962464</v>
      </c>
      <c r="AE21" s="3">
        <f t="shared" si="18"/>
        <v>0.9749279121818236</v>
      </c>
      <c r="AF21" s="3">
        <f t="shared" si="19"/>
        <v>0.28173255684143006</v>
      </c>
      <c r="AH21" s="11">
        <f t="shared" si="20"/>
        <v>21880</v>
      </c>
      <c r="AI21" s="3">
        <f t="shared" si="10"/>
        <v>0.9422609221188205</v>
      </c>
      <c r="AJ21" s="3">
        <f t="shared" si="21"/>
        <v>0.43388373911755823</v>
      </c>
      <c r="AK21" s="3">
        <f t="shared" si="22"/>
        <v>0.1892512443604102</v>
      </c>
      <c r="AM21" s="11">
        <f t="shared" si="23"/>
        <v>20717</v>
      </c>
      <c r="AN21" s="3">
        <f t="shared" si="11"/>
        <v>-0.9976687691905393</v>
      </c>
      <c r="AO21" s="3">
        <f t="shared" si="24"/>
        <v>-0.6234898018587337</v>
      </c>
      <c r="AP21" s="3">
        <f t="shared" si="25"/>
        <v>-0.9718115683235417</v>
      </c>
    </row>
    <row r="22" spans="1:42" ht="17.25">
      <c r="A22" s="3">
        <f>WEEKDAY(DATE('対象指定ﾃﾞｰﾀ'!C$1,'対象指定ﾃﾞｰﾀ'!C$2,ROWS(D$4:D22)),3)</f>
        <v>5</v>
      </c>
      <c r="C22" s="3">
        <f>IF(A22=6,+"["&amp;FIXED(ROWS($D$4:D22),0,TRUE)&amp;"]",ROWS($D$4:D22))</f>
        <v>19</v>
      </c>
      <c r="D22" s="11">
        <f t="shared" si="12"/>
        <v>19251</v>
      </c>
      <c r="E22" s="3">
        <f t="shared" si="0"/>
        <v>0</v>
      </c>
      <c r="F22" s="3">
        <f t="shared" si="1"/>
        <v>-0.22252093395631384</v>
      </c>
      <c r="G22" s="3">
        <f t="shared" si="2"/>
        <v>0.7557495743542583</v>
      </c>
      <c r="I22" s="11">
        <f t="shared" si="13"/>
        <v>18355</v>
      </c>
      <c r="J22" s="3">
        <f t="shared" si="3"/>
        <v>0.2697967711570243</v>
      </c>
      <c r="K22" s="3">
        <f t="shared" si="4"/>
        <v>-0.22252093395631384</v>
      </c>
      <c r="L22" s="3">
        <f t="shared" si="5"/>
        <v>0.9718115683235417</v>
      </c>
      <c r="N22" s="11">
        <f t="shared" si="26"/>
        <v>21760</v>
      </c>
      <c r="O22" s="3">
        <f t="shared" si="6"/>
        <v>0.5195839500354336</v>
      </c>
      <c r="P22" s="3">
        <f t="shared" si="27"/>
        <v>0.7818314824680298</v>
      </c>
      <c r="Q22" s="3">
        <f t="shared" si="28"/>
        <v>0.6181589862206051</v>
      </c>
      <c r="S22" s="11">
        <f t="shared" si="29"/>
        <v>26874</v>
      </c>
      <c r="T22" s="3">
        <f t="shared" si="7"/>
        <v>0.3984010898462414</v>
      </c>
      <c r="U22" s="3">
        <f t="shared" si="30"/>
        <v>-0.9749279121818238</v>
      </c>
      <c r="V22" s="3">
        <f t="shared" si="31"/>
        <v>0.7557495743542583</v>
      </c>
      <c r="X22" s="11">
        <f t="shared" si="14"/>
        <v>23875</v>
      </c>
      <c r="Y22" s="3">
        <f t="shared" si="8"/>
        <v>0.2697967711570243</v>
      </c>
      <c r="Z22" s="3">
        <f t="shared" si="15"/>
        <v>-0.900968867902419</v>
      </c>
      <c r="AA22" s="3">
        <f t="shared" si="16"/>
        <v>0.09505604330418288</v>
      </c>
      <c r="AC22" s="11">
        <f t="shared" si="17"/>
        <v>23611</v>
      </c>
      <c r="AD22" s="3">
        <f t="shared" si="9"/>
        <v>-0.39840108984624156</v>
      </c>
      <c r="AE22" s="3">
        <f t="shared" si="18"/>
        <v>1</v>
      </c>
      <c r="AF22" s="3">
        <f t="shared" si="19"/>
        <v>0.09505604330418288</v>
      </c>
      <c r="AH22" s="11">
        <f t="shared" si="20"/>
        <v>21881</v>
      </c>
      <c r="AI22" s="3">
        <f t="shared" si="10"/>
        <v>0.8169698930104421</v>
      </c>
      <c r="AJ22" s="3">
        <f t="shared" si="21"/>
        <v>0.2225209339563141</v>
      </c>
      <c r="AK22" s="3">
        <f t="shared" si="22"/>
        <v>0.3716624556603275</v>
      </c>
      <c r="AM22" s="11">
        <f t="shared" si="23"/>
        <v>20718</v>
      </c>
      <c r="AN22" s="3">
        <f t="shared" si="11"/>
        <v>-0.979084087682323</v>
      </c>
      <c r="AO22" s="3">
        <f t="shared" si="24"/>
        <v>-0.4338837391175575</v>
      </c>
      <c r="AP22" s="3">
        <f t="shared" si="25"/>
        <v>-0.9096319953545186</v>
      </c>
    </row>
    <row r="23" spans="1:42" ht="17.25">
      <c r="A23" s="3">
        <f>WEEKDAY(DATE('対象指定ﾃﾞｰﾀ'!C$1,'対象指定ﾃﾞｰﾀ'!C$2,ROWS(D$4:D23)),3)</f>
        <v>6</v>
      </c>
      <c r="C23" s="3" t="str">
        <f>IF(A23=6,+"["&amp;FIXED(ROWS($D$4:D23),0,TRUE)&amp;"]",ROWS($D$4:D23))</f>
        <v>[20]</v>
      </c>
      <c r="D23" s="11">
        <f t="shared" si="12"/>
        <v>19252</v>
      </c>
      <c r="E23" s="3">
        <f t="shared" si="0"/>
        <v>0.2697967711570243</v>
      </c>
      <c r="F23" s="3">
        <f t="shared" si="1"/>
        <v>-0.433883739117558</v>
      </c>
      <c r="G23" s="3">
        <f t="shared" si="2"/>
        <v>0.6181589862206051</v>
      </c>
      <c r="I23" s="11">
        <f t="shared" si="13"/>
        <v>18356</v>
      </c>
      <c r="J23" s="3">
        <f t="shared" si="3"/>
        <v>0.5195839500354336</v>
      </c>
      <c r="K23" s="3">
        <f t="shared" si="4"/>
        <v>-0.433883739117558</v>
      </c>
      <c r="L23" s="3">
        <f t="shared" si="5"/>
        <v>0.998867339183008</v>
      </c>
      <c r="N23" s="11">
        <f t="shared" si="26"/>
        <v>21761</v>
      </c>
      <c r="O23" s="3">
        <f t="shared" si="6"/>
        <v>0.730835964278124</v>
      </c>
      <c r="P23" s="3">
        <f t="shared" si="27"/>
        <v>0.9009688679024191</v>
      </c>
      <c r="Q23" s="3">
        <f t="shared" si="28"/>
        <v>0.4582265217274105</v>
      </c>
      <c r="S23" s="11">
        <f t="shared" si="29"/>
        <v>26875</v>
      </c>
      <c r="T23" s="3">
        <f t="shared" si="7"/>
        <v>0.1361666490962471</v>
      </c>
      <c r="U23" s="3">
        <f t="shared" si="30"/>
        <v>-0.9009688679024193</v>
      </c>
      <c r="V23" s="3">
        <f t="shared" si="31"/>
        <v>0.6181589862206051</v>
      </c>
      <c r="X23" s="11">
        <f t="shared" si="14"/>
        <v>23876</v>
      </c>
      <c r="Y23" s="3">
        <f t="shared" si="8"/>
        <v>0.5195839500354336</v>
      </c>
      <c r="Z23" s="3">
        <f t="shared" si="15"/>
        <v>-0.9749279121818236</v>
      </c>
      <c r="AA23" s="3">
        <f t="shared" si="16"/>
        <v>-0.09505604330418263</v>
      </c>
      <c r="AC23" s="11">
        <f t="shared" si="17"/>
        <v>23612</v>
      </c>
      <c r="AD23" s="3">
        <f t="shared" si="9"/>
        <v>-0.6310879443260528</v>
      </c>
      <c r="AE23" s="3">
        <f t="shared" si="18"/>
        <v>0.9749279121818236</v>
      </c>
      <c r="AF23" s="3">
        <f t="shared" si="19"/>
        <v>-0.09505604330418263</v>
      </c>
      <c r="AH23" s="11">
        <f t="shared" si="20"/>
        <v>21882</v>
      </c>
      <c r="AI23" s="3">
        <f t="shared" si="10"/>
        <v>0.631087944326053</v>
      </c>
      <c r="AJ23" s="3">
        <f t="shared" si="21"/>
        <v>1.22514845490862E-16</v>
      </c>
      <c r="AK23" s="3">
        <f t="shared" si="22"/>
        <v>0.5406408174555976</v>
      </c>
      <c r="AM23" s="11">
        <f t="shared" si="23"/>
        <v>20719</v>
      </c>
      <c r="AN23" s="3">
        <f t="shared" si="11"/>
        <v>-0.8878852184023756</v>
      </c>
      <c r="AO23" s="3">
        <f t="shared" si="24"/>
        <v>-0.22252093395631464</v>
      </c>
      <c r="AP23" s="3">
        <f t="shared" si="25"/>
        <v>-0.8145759520503358</v>
      </c>
    </row>
    <row r="24" spans="1:42" ht="17.25">
      <c r="A24" s="3">
        <f>WEEKDAY(DATE('対象指定ﾃﾞｰﾀ'!C$1,'対象指定ﾃﾞｰﾀ'!C$2,ROWS(D$4:D24)),3)</f>
        <v>0</v>
      </c>
      <c r="C24" s="3">
        <f>IF(A24=6,+"["&amp;FIXED(ROWS($D$4:D24),0,TRUE)&amp;"]",ROWS($D$4:D24))</f>
        <v>21</v>
      </c>
      <c r="D24" s="11">
        <f t="shared" si="12"/>
        <v>19253</v>
      </c>
      <c r="E24" s="3">
        <f t="shared" si="0"/>
        <v>0.5195839500354336</v>
      </c>
      <c r="F24" s="3">
        <f t="shared" si="1"/>
        <v>-0.6234898018587338</v>
      </c>
      <c r="G24" s="3">
        <f t="shared" si="2"/>
        <v>0.4582265217274105</v>
      </c>
      <c r="I24" s="11">
        <f t="shared" si="13"/>
        <v>18357</v>
      </c>
      <c r="J24" s="3">
        <f t="shared" si="3"/>
        <v>0.730835964278124</v>
      </c>
      <c r="K24" s="3">
        <f t="shared" si="4"/>
        <v>-0.6234898018587338</v>
      </c>
      <c r="L24" s="3">
        <f t="shared" si="5"/>
        <v>0.9898214418809328</v>
      </c>
      <c r="N24" s="11">
        <f t="shared" si="26"/>
        <v>21762</v>
      </c>
      <c r="O24" s="3">
        <f t="shared" si="6"/>
        <v>0.8878852184023752</v>
      </c>
      <c r="P24" s="3">
        <f t="shared" si="27"/>
        <v>0.9749279121818236</v>
      </c>
      <c r="Q24" s="3">
        <f t="shared" si="28"/>
        <v>0.28173255684143006</v>
      </c>
      <c r="S24" s="11">
        <f t="shared" si="29"/>
        <v>26876</v>
      </c>
      <c r="T24" s="3">
        <f t="shared" si="7"/>
        <v>-0.1361666490962464</v>
      </c>
      <c r="U24" s="3">
        <f t="shared" si="30"/>
        <v>-0.7818314824680299</v>
      </c>
      <c r="V24" s="3">
        <f t="shared" si="31"/>
        <v>0.4582265217274105</v>
      </c>
      <c r="X24" s="11">
        <f t="shared" si="14"/>
        <v>23877</v>
      </c>
      <c r="Y24" s="3">
        <f t="shared" si="8"/>
        <v>0.730835964278124</v>
      </c>
      <c r="Z24" s="3">
        <f t="shared" si="15"/>
        <v>-1</v>
      </c>
      <c r="AA24" s="3">
        <f t="shared" si="16"/>
        <v>-0.2817325568414294</v>
      </c>
      <c r="AC24" s="11">
        <f t="shared" si="17"/>
        <v>23613</v>
      </c>
      <c r="AD24" s="3">
        <f t="shared" si="9"/>
        <v>-0.816969893010442</v>
      </c>
      <c r="AE24" s="3">
        <f t="shared" si="18"/>
        <v>0.9009688679024191</v>
      </c>
      <c r="AF24" s="3">
        <f t="shared" si="19"/>
        <v>-0.2817325568414294</v>
      </c>
      <c r="AH24" s="11">
        <f t="shared" si="20"/>
        <v>21883</v>
      </c>
      <c r="AI24" s="3">
        <f t="shared" si="10"/>
        <v>0.3984010898462414</v>
      </c>
      <c r="AJ24" s="3">
        <f t="shared" si="21"/>
        <v>-0.22252093395631384</v>
      </c>
      <c r="AK24" s="3">
        <f t="shared" si="22"/>
        <v>0.6900790114821119</v>
      </c>
      <c r="AM24" s="11">
        <f t="shared" si="23"/>
        <v>20720</v>
      </c>
      <c r="AN24" s="3">
        <f t="shared" si="11"/>
        <v>-0.730835964278124</v>
      </c>
      <c r="AO24" s="3">
        <f t="shared" si="24"/>
        <v>0</v>
      </c>
      <c r="AP24" s="3">
        <f t="shared" si="25"/>
        <v>-0.690079011482112</v>
      </c>
    </row>
    <row r="25" spans="1:42" ht="17.25">
      <c r="A25" s="3">
        <f>WEEKDAY(DATE('対象指定ﾃﾞｰﾀ'!C$1,'対象指定ﾃﾞｰﾀ'!C$2,ROWS(D$4:D25)),3)</f>
        <v>1</v>
      </c>
      <c r="C25" s="3">
        <f>IF(A25=6,+"["&amp;FIXED(ROWS($D$4:D25),0,TRUE)&amp;"]",ROWS($D$4:D25))</f>
        <v>22</v>
      </c>
      <c r="D25" s="11">
        <f t="shared" si="12"/>
        <v>19254</v>
      </c>
      <c r="E25" s="3">
        <f t="shared" si="0"/>
        <v>0.730835964278124</v>
      </c>
      <c r="F25" s="3">
        <f t="shared" si="1"/>
        <v>-0.7818314824680297</v>
      </c>
      <c r="G25" s="3">
        <f t="shared" si="2"/>
        <v>0.28173255684143006</v>
      </c>
      <c r="I25" s="11">
        <f t="shared" si="13"/>
        <v>18358</v>
      </c>
      <c r="J25" s="3">
        <f t="shared" si="3"/>
        <v>0.8878852184023752</v>
      </c>
      <c r="K25" s="3">
        <f t="shared" si="4"/>
        <v>-0.7818314824680297</v>
      </c>
      <c r="L25" s="3">
        <f t="shared" si="5"/>
        <v>0.9450008187146685</v>
      </c>
      <c r="N25" s="11">
        <f t="shared" si="26"/>
        <v>21763</v>
      </c>
      <c r="O25" s="3">
        <f t="shared" si="6"/>
        <v>0.9790840876823229</v>
      </c>
      <c r="P25" s="3">
        <f t="shared" si="27"/>
        <v>1</v>
      </c>
      <c r="Q25" s="3">
        <f t="shared" si="28"/>
        <v>0.09505604330418288</v>
      </c>
      <c r="S25" s="11">
        <f t="shared" si="29"/>
        <v>26877</v>
      </c>
      <c r="T25" s="3">
        <f t="shared" si="7"/>
        <v>-0.39840108984624156</v>
      </c>
      <c r="U25" s="3">
        <f t="shared" si="30"/>
        <v>-0.6234898018587337</v>
      </c>
      <c r="V25" s="3">
        <f t="shared" si="31"/>
        <v>0.28173255684143006</v>
      </c>
      <c r="X25" s="11">
        <f t="shared" si="14"/>
        <v>23878</v>
      </c>
      <c r="Y25" s="3">
        <f t="shared" si="8"/>
        <v>0.8878852184023752</v>
      </c>
      <c r="Z25" s="3">
        <f t="shared" si="15"/>
        <v>-0.9749279121818238</v>
      </c>
      <c r="AA25" s="3">
        <f t="shared" si="16"/>
        <v>-0.4582265217274099</v>
      </c>
      <c r="AC25" s="11">
        <f t="shared" si="17"/>
        <v>23614</v>
      </c>
      <c r="AD25" s="3">
        <f t="shared" si="9"/>
        <v>-0.9422609221188204</v>
      </c>
      <c r="AE25" s="3">
        <f t="shared" si="18"/>
        <v>0.7818314824680299</v>
      </c>
      <c r="AF25" s="3">
        <f t="shared" si="19"/>
        <v>-0.4582265217274099</v>
      </c>
      <c r="AH25" s="11">
        <f t="shared" si="20"/>
        <v>21884</v>
      </c>
      <c r="AI25" s="3">
        <f t="shared" si="10"/>
        <v>0.1361666490962471</v>
      </c>
      <c r="AJ25" s="3">
        <f t="shared" si="21"/>
        <v>-0.433883739117558</v>
      </c>
      <c r="AK25" s="3">
        <f t="shared" si="22"/>
        <v>0.8145759520503357</v>
      </c>
      <c r="AM25" s="11">
        <f t="shared" si="23"/>
        <v>20721</v>
      </c>
      <c r="AN25" s="3">
        <f t="shared" si="11"/>
        <v>-0.5195839500354336</v>
      </c>
      <c r="AO25" s="3">
        <f t="shared" si="24"/>
        <v>0.2225209339563144</v>
      </c>
      <c r="AP25" s="3">
        <f t="shared" si="25"/>
        <v>-0.5406408174555982</v>
      </c>
    </row>
    <row r="26" spans="1:42" ht="17.25">
      <c r="A26" s="3">
        <f>WEEKDAY(DATE('対象指定ﾃﾞｰﾀ'!C$1,'対象指定ﾃﾞｰﾀ'!C$2,ROWS(D$4:D26)),3)</f>
        <v>2</v>
      </c>
      <c r="C26" s="3">
        <f>IF(A26=6,+"["&amp;FIXED(ROWS($D$4:D26),0,TRUE)&amp;"]",ROWS($D$4:D26))</f>
        <v>23</v>
      </c>
      <c r="D26" s="11">
        <f t="shared" si="12"/>
        <v>19255</v>
      </c>
      <c r="E26" s="3">
        <f t="shared" si="0"/>
        <v>0.8878852184023752</v>
      </c>
      <c r="F26" s="3">
        <f t="shared" si="1"/>
        <v>-0.900968867902419</v>
      </c>
      <c r="G26" s="3">
        <f t="shared" si="2"/>
        <v>0.09505604330418288</v>
      </c>
      <c r="I26" s="11">
        <f t="shared" si="13"/>
        <v>18359</v>
      </c>
      <c r="J26" s="3">
        <f t="shared" si="3"/>
        <v>0.9790840876823229</v>
      </c>
      <c r="K26" s="3">
        <f t="shared" si="4"/>
        <v>-0.900968867902419</v>
      </c>
      <c r="L26" s="3">
        <f t="shared" si="5"/>
        <v>0.8660254037844387</v>
      </c>
      <c r="N26" s="11">
        <f t="shared" si="26"/>
        <v>21764</v>
      </c>
      <c r="O26" s="3">
        <f t="shared" si="6"/>
        <v>0.9976687691905392</v>
      </c>
      <c r="P26" s="3">
        <f t="shared" si="27"/>
        <v>0.9749279121818236</v>
      </c>
      <c r="Q26" s="3">
        <f t="shared" si="28"/>
        <v>-0.09505604330418263</v>
      </c>
      <c r="S26" s="11">
        <f t="shared" si="29"/>
        <v>26878</v>
      </c>
      <c r="T26" s="3">
        <f t="shared" si="7"/>
        <v>-0.6310879443260528</v>
      </c>
      <c r="U26" s="3">
        <f t="shared" si="30"/>
        <v>-0.4338837391175575</v>
      </c>
      <c r="V26" s="3">
        <f t="shared" si="31"/>
        <v>0.09505604330418288</v>
      </c>
      <c r="X26" s="11">
        <f t="shared" si="14"/>
        <v>23879</v>
      </c>
      <c r="Y26" s="3">
        <f t="shared" si="8"/>
        <v>0.9790840876823229</v>
      </c>
      <c r="Z26" s="3">
        <f t="shared" si="15"/>
        <v>-0.9009688679024193</v>
      </c>
      <c r="AA26" s="3">
        <f t="shared" si="16"/>
        <v>-0.6181589862206053</v>
      </c>
      <c r="AC26" s="11">
        <f t="shared" si="17"/>
        <v>23615</v>
      </c>
      <c r="AD26" s="3">
        <f t="shared" si="9"/>
        <v>-0.9976687691905393</v>
      </c>
      <c r="AE26" s="3">
        <f t="shared" si="18"/>
        <v>0.6234898018587339</v>
      </c>
      <c r="AF26" s="3">
        <f t="shared" si="19"/>
        <v>-0.6181589862206053</v>
      </c>
      <c r="AH26" s="11">
        <f t="shared" si="20"/>
        <v>21885</v>
      </c>
      <c r="AI26" s="3">
        <f t="shared" si="10"/>
        <v>-0.1361666490962464</v>
      </c>
      <c r="AJ26" s="3">
        <f t="shared" si="21"/>
        <v>-0.6234898018587338</v>
      </c>
      <c r="AK26" s="3">
        <f t="shared" si="22"/>
        <v>0.9096319953545183</v>
      </c>
      <c r="AM26" s="11">
        <f t="shared" si="23"/>
        <v>20722</v>
      </c>
      <c r="AN26" s="3">
        <f t="shared" si="11"/>
        <v>-0.2697967711570252</v>
      </c>
      <c r="AO26" s="3">
        <f t="shared" si="24"/>
        <v>0.4338837391175581</v>
      </c>
      <c r="AP26" s="3">
        <f t="shared" si="25"/>
        <v>-0.3716624556603281</v>
      </c>
    </row>
    <row r="27" spans="1:42" ht="17.25">
      <c r="A27" s="3">
        <f>WEEKDAY(DATE('対象指定ﾃﾞｰﾀ'!C$1,'対象指定ﾃﾞｰﾀ'!C$2,ROWS(D$4:D27)),3)</f>
        <v>3</v>
      </c>
      <c r="C27" s="3">
        <f>IF(A27=6,+"["&amp;FIXED(ROWS($D$4:D27),0,TRUE)&amp;"]",ROWS($D$4:D27))</f>
        <v>24</v>
      </c>
      <c r="D27" s="11">
        <f t="shared" si="12"/>
        <v>19256</v>
      </c>
      <c r="E27" s="3">
        <f t="shared" si="0"/>
        <v>0.9790840876823229</v>
      </c>
      <c r="F27" s="3">
        <f t="shared" si="1"/>
        <v>-0.9749279121818236</v>
      </c>
      <c r="G27" s="3">
        <f t="shared" si="2"/>
        <v>-0.09505604330418263</v>
      </c>
      <c r="I27" s="11">
        <f t="shared" si="13"/>
        <v>18360</v>
      </c>
      <c r="J27" s="3">
        <f t="shared" si="3"/>
        <v>0.9976687691905392</v>
      </c>
      <c r="K27" s="3">
        <f t="shared" si="4"/>
        <v>-0.9749279121818236</v>
      </c>
      <c r="L27" s="3">
        <f t="shared" si="5"/>
        <v>0.7557495743542583</v>
      </c>
      <c r="N27" s="11">
        <f t="shared" si="26"/>
        <v>21765</v>
      </c>
      <c r="O27" s="3">
        <f t="shared" si="6"/>
        <v>0.9422609221188205</v>
      </c>
      <c r="P27" s="3">
        <f t="shared" si="27"/>
        <v>0.9009688679024191</v>
      </c>
      <c r="Q27" s="3">
        <f t="shared" si="28"/>
        <v>-0.2817325568414294</v>
      </c>
      <c r="S27" s="11">
        <f t="shared" si="29"/>
        <v>26879</v>
      </c>
      <c r="T27" s="3">
        <f t="shared" si="7"/>
        <v>-0.816969893010442</v>
      </c>
      <c r="U27" s="3">
        <f t="shared" si="30"/>
        <v>-0.22252093395631464</v>
      </c>
      <c r="V27" s="3">
        <f t="shared" si="31"/>
        <v>-0.09505604330418263</v>
      </c>
      <c r="X27" s="11">
        <f t="shared" si="14"/>
        <v>23880</v>
      </c>
      <c r="Y27" s="3">
        <f t="shared" si="8"/>
        <v>0.9976687691905392</v>
      </c>
      <c r="Z27" s="3">
        <f t="shared" si="15"/>
        <v>-0.7818314824680299</v>
      </c>
      <c r="AA27" s="3">
        <f t="shared" si="16"/>
        <v>-0.7557495743542585</v>
      </c>
      <c r="AC27" s="11">
        <f t="shared" si="17"/>
        <v>23616</v>
      </c>
      <c r="AD27" s="3">
        <f t="shared" si="9"/>
        <v>-0.979084087682323</v>
      </c>
      <c r="AE27" s="3">
        <f t="shared" si="18"/>
        <v>0.43388373911755823</v>
      </c>
      <c r="AF27" s="3">
        <f t="shared" si="19"/>
        <v>-0.7557495743542585</v>
      </c>
      <c r="AH27" s="11">
        <f t="shared" si="20"/>
        <v>21886</v>
      </c>
      <c r="AI27" s="3">
        <f t="shared" si="10"/>
        <v>-0.39840108984624156</v>
      </c>
      <c r="AJ27" s="3">
        <f t="shared" si="21"/>
        <v>-0.7818314824680297</v>
      </c>
      <c r="AK27" s="3">
        <f t="shared" si="22"/>
        <v>0.9718115683235417</v>
      </c>
      <c r="AM27" s="11">
        <f t="shared" si="23"/>
        <v>20723</v>
      </c>
      <c r="AN27" s="3">
        <f t="shared" si="11"/>
        <v>0</v>
      </c>
      <c r="AO27" s="3">
        <f t="shared" si="24"/>
        <v>0.6234898018587335</v>
      </c>
      <c r="AP27" s="3">
        <f t="shared" si="25"/>
        <v>-0.18925124436041063</v>
      </c>
    </row>
    <row r="28" spans="1:42" ht="17.25">
      <c r="A28" s="3">
        <f>WEEKDAY(DATE('対象指定ﾃﾞｰﾀ'!C$1,'対象指定ﾃﾞｰﾀ'!C$2,ROWS(D$4:D28)),3)</f>
        <v>4</v>
      </c>
      <c r="C28" s="3">
        <f>IF(A28=6,+"["&amp;FIXED(ROWS($D$4:D28),0,TRUE)&amp;"]",ROWS($D$4:D28))</f>
        <v>25</v>
      </c>
      <c r="D28" s="11">
        <f t="shared" si="12"/>
        <v>19257</v>
      </c>
      <c r="E28" s="3">
        <f t="shared" si="0"/>
        <v>0.9976687691905392</v>
      </c>
      <c r="F28" s="3">
        <f t="shared" si="1"/>
        <v>-1</v>
      </c>
      <c r="G28" s="3">
        <f t="shared" si="2"/>
        <v>-0.2817325568414294</v>
      </c>
      <c r="I28" s="11">
        <f t="shared" si="13"/>
        <v>18361</v>
      </c>
      <c r="J28" s="3">
        <f t="shared" si="3"/>
        <v>0.9422609221188205</v>
      </c>
      <c r="K28" s="3">
        <f t="shared" si="4"/>
        <v>-1</v>
      </c>
      <c r="L28" s="3">
        <f t="shared" si="5"/>
        <v>0.6181589862206051</v>
      </c>
      <c r="N28" s="11">
        <f t="shared" si="26"/>
        <v>21766</v>
      </c>
      <c r="O28" s="3">
        <f t="shared" si="6"/>
        <v>0.8169698930104421</v>
      </c>
      <c r="P28" s="3">
        <f t="shared" si="27"/>
        <v>0.7818314824680299</v>
      </c>
      <c r="Q28" s="3">
        <f t="shared" si="28"/>
        <v>-0.4582265217274099</v>
      </c>
      <c r="S28" s="11">
        <f t="shared" si="29"/>
        <v>26880</v>
      </c>
      <c r="T28" s="3">
        <f t="shared" si="7"/>
        <v>-0.9422609221188204</v>
      </c>
      <c r="U28" s="3">
        <f t="shared" si="30"/>
        <v>0</v>
      </c>
      <c r="V28" s="3">
        <f t="shared" si="31"/>
        <v>-0.2817325568414294</v>
      </c>
      <c r="X28" s="11">
        <f t="shared" si="14"/>
        <v>23881</v>
      </c>
      <c r="Y28" s="3">
        <f t="shared" si="8"/>
        <v>0.9422609221188205</v>
      </c>
      <c r="Z28" s="3">
        <f t="shared" si="15"/>
        <v>-0.6234898018587337</v>
      </c>
      <c r="AA28" s="3">
        <f t="shared" si="16"/>
        <v>-0.8660254037844384</v>
      </c>
      <c r="AC28" s="11">
        <f t="shared" si="17"/>
        <v>23617</v>
      </c>
      <c r="AD28" s="3">
        <f t="shared" si="9"/>
        <v>-0.8878852184023756</v>
      </c>
      <c r="AE28" s="3">
        <f t="shared" si="18"/>
        <v>0.2225209339563141</v>
      </c>
      <c r="AF28" s="3">
        <f t="shared" si="19"/>
        <v>-0.8660254037844384</v>
      </c>
      <c r="AH28" s="11">
        <f t="shared" si="20"/>
        <v>21887</v>
      </c>
      <c r="AI28" s="3">
        <f t="shared" si="10"/>
        <v>-0.6310879443260528</v>
      </c>
      <c r="AJ28" s="3">
        <f t="shared" si="21"/>
        <v>-0.900968867902419</v>
      </c>
      <c r="AK28" s="3">
        <f t="shared" si="22"/>
        <v>0.998867339183008</v>
      </c>
      <c r="AM28" s="11">
        <f t="shared" si="23"/>
        <v>20724</v>
      </c>
      <c r="AN28" s="3">
        <f t="shared" si="11"/>
        <v>0.2697967711570243</v>
      </c>
      <c r="AO28" s="3">
        <f t="shared" si="24"/>
        <v>0.7818314824680298</v>
      </c>
      <c r="AP28" s="3">
        <f t="shared" si="25"/>
        <v>0</v>
      </c>
    </row>
    <row r="29" spans="1:42" ht="17.25">
      <c r="A29" s="3">
        <f>WEEKDAY(DATE('対象指定ﾃﾞｰﾀ'!C$1,'対象指定ﾃﾞｰﾀ'!C$2,ROWS(D$4:D29)),3)</f>
        <v>5</v>
      </c>
      <c r="C29" s="3">
        <f>IF(A29=6,+"["&amp;FIXED(ROWS($D$4:D29),0,TRUE)&amp;"]",ROWS($D$4:D29))</f>
        <v>26</v>
      </c>
      <c r="D29" s="11">
        <f t="shared" si="12"/>
        <v>19258</v>
      </c>
      <c r="E29" s="3">
        <f t="shared" si="0"/>
        <v>0.9422609221188205</v>
      </c>
      <c r="F29" s="3">
        <f t="shared" si="1"/>
        <v>-0.9749279121818238</v>
      </c>
      <c r="G29" s="3">
        <f t="shared" si="2"/>
        <v>-0.4582265217274099</v>
      </c>
      <c r="I29" s="11">
        <f t="shared" si="13"/>
        <v>18362</v>
      </c>
      <c r="J29" s="3">
        <f t="shared" si="3"/>
        <v>0.8169698930104421</v>
      </c>
      <c r="K29" s="3">
        <f t="shared" si="4"/>
        <v>-0.9749279121818238</v>
      </c>
      <c r="L29" s="3">
        <f t="shared" si="5"/>
        <v>0.4582265217274105</v>
      </c>
      <c r="N29" s="11">
        <f t="shared" si="26"/>
        <v>21767</v>
      </c>
      <c r="O29" s="3">
        <f t="shared" si="6"/>
        <v>0.631087944326053</v>
      </c>
      <c r="P29" s="3">
        <f t="shared" si="27"/>
        <v>0.6234898018587339</v>
      </c>
      <c r="Q29" s="3">
        <f t="shared" si="28"/>
        <v>-0.6181589862206053</v>
      </c>
      <c r="S29" s="11">
        <f t="shared" si="29"/>
        <v>26881</v>
      </c>
      <c r="T29" s="3">
        <f t="shared" si="7"/>
        <v>-0.9976687691905393</v>
      </c>
      <c r="U29" s="3">
        <f t="shared" si="30"/>
        <v>0.2225209339563144</v>
      </c>
      <c r="V29" s="3">
        <f t="shared" si="31"/>
        <v>-0.4582265217274099</v>
      </c>
      <c r="X29" s="11">
        <f t="shared" si="14"/>
        <v>23882</v>
      </c>
      <c r="Y29" s="3">
        <f t="shared" si="8"/>
        <v>0.8169698930104421</v>
      </c>
      <c r="Z29" s="3">
        <f t="shared" si="15"/>
        <v>-0.4338837391175575</v>
      </c>
      <c r="AA29" s="3">
        <f t="shared" si="16"/>
        <v>-0.9450008187146683</v>
      </c>
      <c r="AC29" s="11">
        <f t="shared" si="17"/>
        <v>23618</v>
      </c>
      <c r="AD29" s="3">
        <f t="shared" si="9"/>
        <v>-0.730835964278124</v>
      </c>
      <c r="AE29" s="3">
        <f t="shared" si="18"/>
        <v>1.22514845490862E-16</v>
      </c>
      <c r="AF29" s="3">
        <f t="shared" si="19"/>
        <v>-0.9450008187146683</v>
      </c>
      <c r="AH29" s="11">
        <f t="shared" si="20"/>
        <v>21888</v>
      </c>
      <c r="AI29" s="3">
        <f t="shared" si="10"/>
        <v>-0.816969893010442</v>
      </c>
      <c r="AJ29" s="3">
        <f t="shared" si="21"/>
        <v>-0.9749279121818236</v>
      </c>
      <c r="AK29" s="3">
        <f t="shared" si="22"/>
        <v>0.9898214418809328</v>
      </c>
      <c r="AM29" s="11">
        <f t="shared" si="23"/>
        <v>20725</v>
      </c>
      <c r="AN29" s="3">
        <f t="shared" si="11"/>
        <v>0.5195839500354336</v>
      </c>
      <c r="AO29" s="3">
        <f t="shared" si="24"/>
        <v>0.9009688679024191</v>
      </c>
      <c r="AP29" s="3">
        <f t="shared" si="25"/>
        <v>0.1892512443604102</v>
      </c>
    </row>
    <row r="30" spans="1:42" ht="17.25">
      <c r="A30" s="3">
        <f>WEEKDAY(DATE('対象指定ﾃﾞｰﾀ'!C$1,'対象指定ﾃﾞｰﾀ'!C$2,ROWS(D$4:D30)),3)</f>
        <v>6</v>
      </c>
      <c r="C30" s="3" t="str">
        <f>IF(A30=6,+"["&amp;FIXED(ROWS($D$4:D30),0,TRUE)&amp;"]",ROWS($D$4:D30))</f>
        <v>[27]</v>
      </c>
      <c r="D30" s="11">
        <f t="shared" si="12"/>
        <v>19259</v>
      </c>
      <c r="E30" s="3">
        <f t="shared" si="0"/>
        <v>0.8169698930104421</v>
      </c>
      <c r="F30" s="3">
        <f t="shared" si="1"/>
        <v>-0.9009688679024193</v>
      </c>
      <c r="G30" s="3">
        <f t="shared" si="2"/>
        <v>-0.6181589862206053</v>
      </c>
      <c r="I30" s="11">
        <f t="shared" si="13"/>
        <v>18363</v>
      </c>
      <c r="J30" s="3">
        <f t="shared" si="3"/>
        <v>0.631087944326053</v>
      </c>
      <c r="K30" s="3">
        <f t="shared" si="4"/>
        <v>-0.9009688679024193</v>
      </c>
      <c r="L30" s="3">
        <f t="shared" si="5"/>
        <v>0.28173255684143006</v>
      </c>
      <c r="N30" s="11">
        <f t="shared" si="26"/>
        <v>21768</v>
      </c>
      <c r="O30" s="3">
        <f t="shared" si="6"/>
        <v>0.3984010898462414</v>
      </c>
      <c r="P30" s="3">
        <f t="shared" si="27"/>
        <v>0.43388373911755823</v>
      </c>
      <c r="Q30" s="3">
        <f t="shared" si="28"/>
        <v>-0.7557495743542585</v>
      </c>
      <c r="S30" s="11">
        <f t="shared" si="29"/>
        <v>26882</v>
      </c>
      <c r="T30" s="3">
        <f t="shared" si="7"/>
        <v>-0.979084087682323</v>
      </c>
      <c r="U30" s="3">
        <f t="shared" si="30"/>
        <v>0.4338837391175581</v>
      </c>
      <c r="V30" s="3">
        <f t="shared" si="31"/>
        <v>-0.6181589862206053</v>
      </c>
      <c r="X30" s="11">
        <f t="shared" si="14"/>
        <v>23883</v>
      </c>
      <c r="Y30" s="3">
        <f t="shared" si="8"/>
        <v>0.631087944326053</v>
      </c>
      <c r="Z30" s="3">
        <f t="shared" si="15"/>
        <v>-0.22252093395631464</v>
      </c>
      <c r="AA30" s="3">
        <f t="shared" si="16"/>
        <v>-0.9898214418809327</v>
      </c>
      <c r="AC30" s="11">
        <f t="shared" si="17"/>
        <v>23619</v>
      </c>
      <c r="AD30" s="3">
        <f t="shared" si="9"/>
        <v>-0.5195839500354336</v>
      </c>
      <c r="AE30" s="3">
        <f t="shared" si="18"/>
        <v>-0.22252093395631384</v>
      </c>
      <c r="AF30" s="3">
        <f t="shared" si="19"/>
        <v>-0.9898214418809327</v>
      </c>
      <c r="AH30" s="11">
        <f t="shared" si="20"/>
        <v>21889</v>
      </c>
      <c r="AI30" s="3">
        <f t="shared" si="10"/>
        <v>-0.9422609221188204</v>
      </c>
      <c r="AJ30" s="3">
        <f t="shared" si="21"/>
        <v>-1</v>
      </c>
      <c r="AK30" s="3">
        <f t="shared" si="22"/>
        <v>0.9450008187146685</v>
      </c>
      <c r="AM30" s="11">
        <f t="shared" si="23"/>
        <v>20726</v>
      </c>
      <c r="AN30" s="3">
        <f t="shared" si="11"/>
        <v>0.730835964278124</v>
      </c>
      <c r="AO30" s="3">
        <f t="shared" si="24"/>
        <v>0.9749279121818236</v>
      </c>
      <c r="AP30" s="3">
        <f t="shared" si="25"/>
        <v>0.3716624556603275</v>
      </c>
    </row>
    <row r="31" spans="1:42" ht="17.25">
      <c r="A31" s="3">
        <f>WEEKDAY(DATE('対象指定ﾃﾞｰﾀ'!C$1,'対象指定ﾃﾞｰﾀ'!C$2,ROWS(D$4:D31)),3)</f>
        <v>0</v>
      </c>
      <c r="C31" s="3">
        <f>IF(A31=6,+"["&amp;FIXED(ROWS($D$4:D31),0,TRUE)&amp;"]",ROWS($D$4:D31))</f>
        <v>28</v>
      </c>
      <c r="D31" s="11">
        <f t="shared" si="12"/>
        <v>19260</v>
      </c>
      <c r="E31" s="3">
        <f t="shared" si="0"/>
        <v>0.631087944326053</v>
      </c>
      <c r="F31" s="3">
        <f t="shared" si="1"/>
        <v>-0.7818314824680299</v>
      </c>
      <c r="G31" s="3">
        <f t="shared" si="2"/>
        <v>-0.7557495743542585</v>
      </c>
      <c r="I31" s="11">
        <f t="shared" si="13"/>
        <v>18364</v>
      </c>
      <c r="J31" s="3">
        <f t="shared" si="3"/>
        <v>0.3984010898462414</v>
      </c>
      <c r="K31" s="3">
        <f t="shared" si="4"/>
        <v>-0.7818314824680299</v>
      </c>
      <c r="L31" s="3">
        <f t="shared" si="5"/>
        <v>0.09505604330418288</v>
      </c>
      <c r="N31" s="11">
        <f t="shared" si="26"/>
        <v>21769</v>
      </c>
      <c r="O31" s="3">
        <f t="shared" si="6"/>
        <v>0.1361666490962471</v>
      </c>
      <c r="P31" s="3">
        <f t="shared" si="27"/>
        <v>0.2225209339563141</v>
      </c>
      <c r="Q31" s="3">
        <f t="shared" si="28"/>
        <v>-0.8660254037844384</v>
      </c>
      <c r="S31" s="11">
        <f t="shared" si="29"/>
        <v>26883</v>
      </c>
      <c r="T31" s="3">
        <f t="shared" si="7"/>
        <v>-0.8878852184023756</v>
      </c>
      <c r="U31" s="3">
        <f t="shared" si="30"/>
        <v>0.6234898018587335</v>
      </c>
      <c r="V31" s="3">
        <f t="shared" si="31"/>
        <v>-0.7557495743542585</v>
      </c>
      <c r="X31" s="11">
        <f t="shared" si="14"/>
        <v>23884</v>
      </c>
      <c r="Y31" s="3">
        <f t="shared" si="8"/>
        <v>0.3984010898462414</v>
      </c>
      <c r="Z31" s="3">
        <f t="shared" si="15"/>
        <v>0</v>
      </c>
      <c r="AA31" s="3">
        <f t="shared" si="16"/>
        <v>-0.998867339183008</v>
      </c>
      <c r="AC31" s="11">
        <f t="shared" si="17"/>
        <v>23620</v>
      </c>
      <c r="AD31" s="3">
        <f t="shared" si="9"/>
        <v>-0.2697967711570252</v>
      </c>
      <c r="AE31" s="3">
        <f t="shared" si="18"/>
        <v>-0.433883739117558</v>
      </c>
      <c r="AF31" s="3">
        <f t="shared" si="19"/>
        <v>-0.998867339183008</v>
      </c>
      <c r="AH31" s="11">
        <f t="shared" si="20"/>
        <v>21890</v>
      </c>
      <c r="AI31" s="3">
        <f t="shared" si="10"/>
        <v>-0.9976687691905393</v>
      </c>
      <c r="AJ31" s="3">
        <f t="shared" si="21"/>
        <v>-0.9749279121818238</v>
      </c>
      <c r="AK31" s="3">
        <f t="shared" si="22"/>
        <v>0.8660254037844387</v>
      </c>
      <c r="AM31" s="11">
        <f t="shared" si="23"/>
        <v>20727</v>
      </c>
      <c r="AN31" s="3">
        <f t="shared" si="11"/>
        <v>0.8878852184023752</v>
      </c>
      <c r="AO31" s="3">
        <f t="shared" si="24"/>
        <v>1</v>
      </c>
      <c r="AP31" s="3">
        <f t="shared" si="25"/>
        <v>0.5406408174555976</v>
      </c>
    </row>
    <row r="32" spans="1:42" ht="17.25">
      <c r="A32" s="3">
        <f>WEEKDAY(DATE('対象指定ﾃﾞｰﾀ'!C$1,'対象指定ﾃﾞｰﾀ'!C$2,ROWS(D$4:D32)),3)</f>
        <v>1</v>
      </c>
      <c r="B32" s="3">
        <f>IF(AND('対象指定ﾃﾞｰﾀ'!C2=2,MOD('対象指定ﾃﾞｰﾀ'!C1,4)&gt;0),0,1)</f>
        <v>1</v>
      </c>
      <c r="C32" s="3">
        <f>IF(B32=0,"",IF(A32=6,+"["&amp;FIXED(ROWS($D$4:D32),0,TRUE)&amp;"]",ROWS($D$4:D32)))</f>
        <v>29</v>
      </c>
      <c r="D32" s="11">
        <f t="shared" si="12"/>
        <v>19261</v>
      </c>
      <c r="E32" s="3">
        <f t="shared" si="0"/>
        <v>0.3984010898462414</v>
      </c>
      <c r="F32" s="3">
        <f t="shared" si="1"/>
        <v>-0.6234898018587337</v>
      </c>
      <c r="G32" s="3">
        <f t="shared" si="2"/>
        <v>-0.8660254037844384</v>
      </c>
      <c r="I32" s="11">
        <f t="shared" si="13"/>
        <v>18365</v>
      </c>
      <c r="J32" s="3">
        <f t="shared" si="3"/>
        <v>0.1361666490962471</v>
      </c>
      <c r="K32" s="3">
        <f t="shared" si="4"/>
        <v>-0.6234898018587337</v>
      </c>
      <c r="L32" s="3">
        <f t="shared" si="5"/>
        <v>-0.09505604330418263</v>
      </c>
      <c r="N32" s="11">
        <f t="shared" si="26"/>
        <v>21770</v>
      </c>
      <c r="O32" s="3">
        <f t="shared" si="6"/>
        <v>-0.1361666490962464</v>
      </c>
      <c r="P32" s="3">
        <f t="shared" si="27"/>
        <v>1.22514845490862E-16</v>
      </c>
      <c r="Q32" s="3">
        <f t="shared" si="28"/>
        <v>-0.9450008187146683</v>
      </c>
      <c r="S32" s="11">
        <f t="shared" si="29"/>
        <v>26884</v>
      </c>
      <c r="T32" s="3">
        <f t="shared" si="7"/>
        <v>-0.730835964278124</v>
      </c>
      <c r="U32" s="3">
        <f t="shared" si="30"/>
        <v>0.7818314824680298</v>
      </c>
      <c r="V32" s="3">
        <f t="shared" si="31"/>
        <v>-0.8660254037844384</v>
      </c>
      <c r="X32" s="11">
        <f t="shared" si="14"/>
        <v>23885</v>
      </c>
      <c r="Y32" s="3">
        <f t="shared" si="8"/>
        <v>0.1361666490962471</v>
      </c>
      <c r="Z32" s="3">
        <f t="shared" si="15"/>
        <v>0.2225209339563144</v>
      </c>
      <c r="AA32" s="3">
        <f t="shared" si="16"/>
        <v>-0.9718115683235417</v>
      </c>
      <c r="AC32" s="11">
        <f t="shared" si="17"/>
        <v>23621</v>
      </c>
      <c r="AD32" s="3">
        <f t="shared" si="9"/>
        <v>0</v>
      </c>
      <c r="AE32" s="3">
        <f t="shared" si="18"/>
        <v>-0.6234898018587338</v>
      </c>
      <c r="AF32" s="3">
        <f t="shared" si="19"/>
        <v>-0.9718115683235417</v>
      </c>
      <c r="AH32" s="11">
        <f t="shared" si="20"/>
        <v>21891</v>
      </c>
      <c r="AI32" s="3">
        <f t="shared" si="10"/>
        <v>-0.979084087682323</v>
      </c>
      <c r="AJ32" s="3">
        <f t="shared" si="21"/>
        <v>-0.9009688679024193</v>
      </c>
      <c r="AK32" s="3">
        <f t="shared" si="22"/>
        <v>0.7557495743542583</v>
      </c>
      <c r="AM32" s="11">
        <f t="shared" si="23"/>
        <v>20728</v>
      </c>
      <c r="AN32" s="3">
        <f t="shared" si="11"/>
        <v>0.9790840876823229</v>
      </c>
      <c r="AO32" s="3">
        <f t="shared" si="24"/>
        <v>0.9749279121818236</v>
      </c>
      <c r="AP32" s="3">
        <f t="shared" si="25"/>
        <v>0.6900790114821119</v>
      </c>
    </row>
    <row r="33" spans="1:42" ht="17.25">
      <c r="A33" s="3">
        <f>WEEKDAY(DATE('対象指定ﾃﾞｰﾀ'!C$1,'対象指定ﾃﾞｰﾀ'!C$2,ROWS(D$4:D33)),3)</f>
        <v>2</v>
      </c>
      <c r="B33" s="3">
        <f>IF('対象指定ﾃﾞｰﾀ'!C2=2,0,1)</f>
        <v>1</v>
      </c>
      <c r="C33" s="3">
        <f>IF(B33=0,"",IF(A33=6,+"["&amp;FIXED(ROWS($D$4:D33),0,TRUE)&amp;"]",ROWS($D$4:D33)))</f>
        <v>30</v>
      </c>
      <c r="D33" s="11">
        <f t="shared" si="12"/>
        <v>19262</v>
      </c>
      <c r="E33" s="3">
        <f t="shared" si="0"/>
        <v>0.1361666490962471</v>
      </c>
      <c r="F33" s="3">
        <f t="shared" si="1"/>
        <v>-0.4338837391175575</v>
      </c>
      <c r="G33" s="3">
        <f t="shared" si="2"/>
        <v>-0.9450008187146683</v>
      </c>
      <c r="I33" s="11">
        <f t="shared" si="13"/>
        <v>18366</v>
      </c>
      <c r="J33" s="3">
        <f t="shared" si="3"/>
        <v>-0.1361666490962464</v>
      </c>
      <c r="K33" s="3">
        <f t="shared" si="4"/>
        <v>-0.4338837391175575</v>
      </c>
      <c r="L33" s="3">
        <f t="shared" si="5"/>
        <v>-0.2817325568414294</v>
      </c>
      <c r="N33" s="11">
        <f t="shared" si="26"/>
        <v>21771</v>
      </c>
      <c r="O33" s="3">
        <f t="shared" si="6"/>
        <v>-0.39840108984624156</v>
      </c>
      <c r="P33" s="3">
        <f t="shared" si="27"/>
        <v>-0.22252093395631384</v>
      </c>
      <c r="Q33" s="3">
        <f t="shared" si="28"/>
        <v>-0.9898214418809327</v>
      </c>
      <c r="S33" s="11">
        <f t="shared" si="29"/>
        <v>26885</v>
      </c>
      <c r="T33" s="3">
        <f t="shared" si="7"/>
        <v>-0.5195839500354336</v>
      </c>
      <c r="U33" s="3">
        <f t="shared" si="30"/>
        <v>0.9009688679024191</v>
      </c>
      <c r="V33" s="3">
        <f t="shared" si="31"/>
        <v>-0.9450008187146683</v>
      </c>
      <c r="X33" s="11">
        <f t="shared" si="14"/>
        <v>23886</v>
      </c>
      <c r="Y33" s="3">
        <f t="shared" si="8"/>
        <v>-0.1361666490962464</v>
      </c>
      <c r="Z33" s="3">
        <f t="shared" si="15"/>
        <v>0.4338837391175581</v>
      </c>
      <c r="AA33" s="3">
        <f t="shared" si="16"/>
        <v>-0.9096319953545186</v>
      </c>
      <c r="AC33" s="11">
        <f t="shared" si="17"/>
        <v>23622</v>
      </c>
      <c r="AD33" s="3">
        <f t="shared" si="9"/>
        <v>0.2697967711570243</v>
      </c>
      <c r="AE33" s="3">
        <f t="shared" si="18"/>
        <v>-0.7818314824680297</v>
      </c>
      <c r="AF33" s="3">
        <f t="shared" si="19"/>
        <v>-0.9096319953545186</v>
      </c>
      <c r="AH33" s="11">
        <f t="shared" si="20"/>
        <v>21892</v>
      </c>
      <c r="AI33" s="3">
        <f t="shared" si="10"/>
        <v>-0.8878852184023756</v>
      </c>
      <c r="AJ33" s="3">
        <f t="shared" si="21"/>
        <v>-0.7818314824680299</v>
      </c>
      <c r="AK33" s="3">
        <f t="shared" si="22"/>
        <v>0.6181589862206051</v>
      </c>
      <c r="AM33" s="11">
        <f t="shared" si="23"/>
        <v>20729</v>
      </c>
      <c r="AN33" s="3">
        <f t="shared" si="11"/>
        <v>0.9976687691905392</v>
      </c>
      <c r="AO33" s="3">
        <f t="shared" si="24"/>
        <v>0.9009688679024191</v>
      </c>
      <c r="AP33" s="3">
        <f t="shared" si="25"/>
        <v>0.8145759520503357</v>
      </c>
    </row>
    <row r="34" spans="1:42" ht="17.25">
      <c r="A34" s="3">
        <f>WEEKDAY(DATE('対象指定ﾃﾞｰﾀ'!C$1,'対象指定ﾃﾞｰﾀ'!C$2,ROWS(D$4:D34)),3)</f>
        <v>3</v>
      </c>
      <c r="B34" s="3">
        <f>IF(OR(OR(B33=0,(AND('対象指定ﾃﾞｰﾀ'!C2&lt;=6,MOD('対象指定ﾃﾞｰﾀ'!C2,2)=0))),(AND('対象指定ﾃﾞｰﾀ'!C2&gt;=9,MOD('対象指定ﾃﾞｰﾀ'!C2,2)=1))),0,1)</f>
        <v>0</v>
      </c>
      <c r="C34" s="3">
        <f>IF(B34=0,"",IF(A34=6,+"["&amp;FIXED(ROWS($D$4:D34),0,TRUE)&amp;"]",ROWS($D$4:D34)))</f>
      </c>
      <c r="D34" s="11">
        <f t="shared" si="12"/>
        <v>19263</v>
      </c>
      <c r="E34" s="3">
        <f t="shared" si="0"/>
        <v>-0.1361666490962464</v>
      </c>
      <c r="F34" s="3">
        <f t="shared" si="1"/>
        <v>-0.22252093395631464</v>
      </c>
      <c r="G34" s="3">
        <f t="shared" si="2"/>
        <v>-0.9898214418809327</v>
      </c>
      <c r="I34" s="11">
        <f t="shared" si="13"/>
        <v>18367</v>
      </c>
      <c r="J34" s="3">
        <f t="shared" si="3"/>
        <v>-0.39840108984624156</v>
      </c>
      <c r="K34" s="3">
        <f t="shared" si="4"/>
        <v>-0.22252093395631464</v>
      </c>
      <c r="L34" s="3">
        <f t="shared" si="5"/>
        <v>-0.4582265217274099</v>
      </c>
      <c r="N34" s="11">
        <f t="shared" si="26"/>
        <v>21772</v>
      </c>
      <c r="O34" s="3">
        <f t="shared" si="6"/>
        <v>-0.6310879443260528</v>
      </c>
      <c r="P34" s="3">
        <f t="shared" si="27"/>
        <v>-0.433883739117558</v>
      </c>
      <c r="Q34" s="3">
        <f t="shared" si="28"/>
        <v>-0.998867339183008</v>
      </c>
      <c r="S34" s="11">
        <f t="shared" si="29"/>
        <v>26886</v>
      </c>
      <c r="T34" s="3">
        <f t="shared" si="7"/>
        <v>-0.2697967711570252</v>
      </c>
      <c r="U34" s="3">
        <f t="shared" si="30"/>
        <v>0.9749279121818236</v>
      </c>
      <c r="V34" s="3">
        <f t="shared" si="31"/>
        <v>-0.9898214418809327</v>
      </c>
      <c r="X34" s="11">
        <f t="shared" si="14"/>
        <v>23887</v>
      </c>
      <c r="Y34" s="3">
        <f t="shared" si="8"/>
        <v>-0.39840108984624156</v>
      </c>
      <c r="Z34" s="3">
        <f t="shared" si="15"/>
        <v>0.6234898018587335</v>
      </c>
      <c r="AA34" s="3">
        <f t="shared" si="16"/>
        <v>-0.8145759520503358</v>
      </c>
      <c r="AC34" s="11">
        <f t="shared" si="17"/>
        <v>23623</v>
      </c>
      <c r="AD34" s="3">
        <f t="shared" si="9"/>
        <v>0.5195839500354336</v>
      </c>
      <c r="AE34" s="3">
        <f t="shared" si="18"/>
        <v>-0.900968867902419</v>
      </c>
      <c r="AF34" s="3">
        <f t="shared" si="19"/>
        <v>-0.8145759520503358</v>
      </c>
      <c r="AH34" s="11">
        <f t="shared" si="20"/>
        <v>21893</v>
      </c>
      <c r="AI34" s="3">
        <f t="shared" si="10"/>
        <v>-0.730835964278124</v>
      </c>
      <c r="AJ34" s="3">
        <f t="shared" si="21"/>
        <v>-0.6234898018587337</v>
      </c>
      <c r="AK34" s="3">
        <f t="shared" si="22"/>
        <v>0.4582265217274105</v>
      </c>
      <c r="AM34" s="11">
        <f t="shared" si="23"/>
        <v>20730</v>
      </c>
      <c r="AN34" s="3">
        <f t="shared" si="11"/>
        <v>0.9422609221188205</v>
      </c>
      <c r="AO34" s="3">
        <f t="shared" si="24"/>
        <v>0.7818314824680299</v>
      </c>
      <c r="AP34" s="3">
        <f t="shared" si="25"/>
        <v>0.9096319953545183</v>
      </c>
    </row>
    <row r="37" ht="17.25">
      <c r="A37" s="3" t="str">
        <f>WIDECHAR(FIXED('対象指定ﾃﾞｰﾀ'!$C$1,0,TRUE))&amp;"年"&amp;WIDECHAR(FIXED('対象指定ﾃﾞｰﾀ'!$C$2,0,TRUE))&amp;"月 バイオリズム　　　　　　　"&amp;A38</f>
        <v>２０１４年４月 バイオリズム　　　　　　　ﾊﾞﾗｸ･ｵﾊﾞﾏ 様 1961年8月4日生まれ</v>
      </c>
    </row>
    <row r="38" ht="17.25">
      <c r="A38" s="3" t="str">
        <f>'対象指定ﾃﾞｰﾀ'!B4&amp;" 様"&amp;" "&amp;FIXED('対象指定ﾃﾞｰﾀ'!C4,0,TRUE)&amp;"年"&amp;FIXED('対象指定ﾃﾞｰﾀ'!D4,0,TRUE)&amp;"月"&amp;FIXED('対象指定ﾃﾞｰﾀ'!E4,0,TRUE)&amp;"日生まれ"</f>
        <v>ﾊﾞﾗｸ･ｵﾊﾞﾏ 様 1961年8月4日生まれ</v>
      </c>
    </row>
    <row r="40" ht="17.25">
      <c r="A40" s="3" t="str">
        <f>"A"&amp;'対象指定ﾃﾞｰﾀ'!B4&amp;" 様"&amp;" "&amp;FIXED('対象指定ﾃﾞｰﾀ'!C4,0,TRUE)&amp;"年"&amp;FIXED('対象指定ﾃﾞｰﾀ'!D4,0,TRUE)&amp;"月"&amp;FIXED('対象指定ﾃﾞｰﾀ'!E4,0,TRUE)&amp;"日生"</f>
        <v>Aﾊﾞﾗｸ･ｵﾊﾞﾏ 様 1961年8月4日生</v>
      </c>
    </row>
    <row r="41" ht="17.25">
      <c r="A41" s="3" t="str">
        <f>"B"&amp;'対象指定ﾃﾞｰﾀ'!B5&amp;" 様"&amp;" "&amp;FIXED('対象指定ﾃﾞｰﾀ'!C5,0,TRUE)&amp;"年"&amp;FIXED('対象指定ﾃﾞｰﾀ'!D5,0,TRUE)&amp;"月"&amp;FIXED('対象指定ﾃﾞｰﾀ'!E5,0,TRUE)&amp;"日生"</f>
        <v>Bﾐｯｼｪﾙ･ｵﾊﾞﾏ 様 1964年1月17日生</v>
      </c>
    </row>
    <row r="42" spans="4:7" ht="17.25">
      <c r="D42" s="10" t="s">
        <v>61</v>
      </c>
      <c r="E42" s="2" t="s">
        <v>70</v>
      </c>
      <c r="F42" s="2" t="s">
        <v>71</v>
      </c>
      <c r="G42" s="2" t="s">
        <v>72</v>
      </c>
    </row>
    <row r="43" spans="4:7" ht="17.25">
      <c r="D43" s="11">
        <f>ABS(DATE('対象指定ﾃﾞｰﾀ'!C4,'対象指定ﾃﾞｰﾀ'!D4,'対象指定ﾃﾞｰﾀ'!E4)-DATE('対象指定ﾃﾞｰﾀ'!C5,'対象指定ﾃﾞｰﾀ'!D5,'対象指定ﾃﾞｰﾀ'!E5))</f>
        <v>896</v>
      </c>
      <c r="E43" s="12">
        <f>ABS(MOD(D43,23)-23/2)/(23/2)*100</f>
        <v>91.30434782608695</v>
      </c>
      <c r="F43" s="12">
        <f>ABS((MOD(D43,28)-28/2)/(28/2))*100</f>
        <v>100</v>
      </c>
      <c r="G43" s="12">
        <f>ABS(MOD(D43,33)-33/2)/(33/2)*100</f>
        <v>69.6969696969697</v>
      </c>
    </row>
    <row r="44" ht="17.25">
      <c r="A44" s="14">
        <f>IF(E43&lt;50,"(助合い"&amp;FIXED(100-E43,0,TRUE)&amp;"%)","")</f>
      </c>
    </row>
    <row r="45" ht="17.25">
      <c r="A45" s="15">
        <f>IF(F43&lt;50,"(守り合い"&amp;FIXED(100-F43,0,TRUE)&amp;"%)","")</f>
      </c>
    </row>
    <row r="46" ht="17.25">
      <c r="A46" s="16">
        <f>IF(G43&lt;50,"(補い合い"&amp;FIXED(100-G43,0,TRUE)&amp;"%)","")</f>
      </c>
    </row>
    <row r="47" spans="1:2" ht="17.25">
      <c r="A47" s="13" t="s">
        <v>62</v>
      </c>
      <c r="B47" s="3" t="str">
        <f>$A$40&amp;"  "&amp;$A$41&amp;"　　　　　　　　　　　　　　　　　　　　　　　　　　　　　　　　　　　　　　"&amp;B50</f>
        <v>Aﾊﾞﾗｸ･ｵﾊﾞﾏ 様 1961年8月4日生  Bﾐｯｼｪﾙ･ｵﾊﾞﾏ 様 1964年1月17日生　　　　　　　　　　　　　　　　　　　　　　　　　　　　　　　　　　　　　　２０１４年４月　　　　　　　バイオリズム共鳴度 体調91%</v>
      </c>
    </row>
    <row r="48" spans="1:2" ht="17.25">
      <c r="A48" s="13" t="s">
        <v>62</v>
      </c>
      <c r="B48" s="3" t="str">
        <f>$A$40&amp;"  "&amp;$A$41&amp;"　　　　　　　　　　　　　　　　　　　　　　　　　　　　　　　　　　　　　　"&amp;B51</f>
        <v>Aﾊﾞﾗｸ･ｵﾊﾞﾏ 様 1961年8月4日生  Bﾐｯｼｪﾙ･ｵﾊﾞﾏ 様 1964年1月17日生　　　　　　　　　　　　　　　　　　　　　　　　　　　　　　　　　　　　　　２０１４年４月　　　　　　　バイオリズム共鳴度 情緒100%</v>
      </c>
    </row>
    <row r="49" ht="17.25">
      <c r="B49" s="3" t="str">
        <f>$A$40&amp;"  "&amp;$A$41&amp;"　　　　　　　　　　　　　　　　　　　　　　　　　　　　　　　　　　　　　　"&amp;B52</f>
        <v>Aﾊﾞﾗｸ･ｵﾊﾞﾏ 様 1961年8月4日生  Bﾐｯｼｪﾙ･ｵﾊﾞﾏ 様 1964年1月17日生　　　　　　　　　　　　　　　　　　　　　　　　　　　　　　　　　　　　　　２０１４年４月　　　　　　　バイオリズム共鳴度 知性70%</v>
      </c>
    </row>
    <row r="50" ht="17.25">
      <c r="B50" s="3" t="str">
        <f>WIDECHAR(FIXED('対象指定ﾃﾞｰﾀ'!$C$1,0,TRUE))&amp;"年"&amp;WIDECHAR(FIXED('対象指定ﾃﾞｰﾀ'!$C$2,0,TRUE))&amp;"月　　　　　　　バイオリズム共鳴度"&amp;$E$42&amp;FIXED($E$43,0,TRUE)&amp;"%"&amp;$A$44</f>
        <v>２０１４年４月　　　　　　　バイオリズム共鳴度 体調91%</v>
      </c>
    </row>
    <row r="51" ht="17.25">
      <c r="B51" s="3" t="str">
        <f>WIDECHAR(FIXED('対象指定ﾃﾞｰﾀ'!$C$1,0,TRUE))&amp;"年"&amp;WIDECHAR(FIXED('対象指定ﾃﾞｰﾀ'!$C$2,0,TRUE))&amp;"月　　　　　　　バイオリズム共鳴度"&amp;$F$42&amp;FIXED($F$43,0,TRUE)&amp;"%"&amp;$A$45</f>
        <v>２０１４年４月　　　　　　　バイオリズム共鳴度 情緒100%</v>
      </c>
    </row>
    <row r="52" ht="17.25">
      <c r="B52" s="3" t="str">
        <f>WIDECHAR(FIXED('対象指定ﾃﾞｰﾀ'!$C$1,0,TRUE))&amp;"年"&amp;WIDECHAR(FIXED('対象指定ﾃﾞｰﾀ'!$C$2,0,TRUE))&amp;"月　　　　　　　バイオリズム共鳴度"&amp;$G$42&amp;FIXED($G$43,0,TRUE)&amp;"%"&amp;$A$46</f>
        <v>２０１４年４月　　　　　　　バイオリズム共鳴度 知性70%</v>
      </c>
    </row>
    <row r="53" ht="17.25">
      <c r="B53" t="str">
        <f>"A"&amp;'対象指定ﾃﾞｰﾀ'!B4&amp;" 様 ・ B"&amp;'対象指定ﾃﾞｰﾀ'!B5&amp;" 様 ・ C"&amp;'対象指定ﾃﾞｰﾀ'!B6&amp;" 様 ・ D"&amp;'対象指定ﾃﾞｰﾀ'!B7&amp;" 様 ・ E"&amp;'対象指定ﾃﾞｰﾀ'!B8&amp;" 様 ・ F"&amp;'対象指定ﾃﾞｰﾀ'!B9&amp;" 様 ・ G"&amp;'対象指定ﾃﾞｰﾀ'!B10&amp;" 様 ・ H"&amp;'対象指定ﾃﾞｰﾀ'!B11&amp;" 様　　　　　　　　　　　　　　　　　　　　　　　　　　　　　　　　　　　　　　　　　　　　　　　　　"&amp;WIDECHAR(FIXED('対象指定ﾃﾞｰﾀ'!C1,0,TRUE))&amp;"年"&amp;WIDECHAR(FIXED('対象指定ﾃﾞｰﾀ'!C2,0,TRUE))&amp;"月　知性バイオリズム"</f>
        <v>Aﾊﾞﾗｸ･ｵﾊﾞﾏ 様 ・ Bﾐｯｼｪﾙ･ｵﾊﾞﾏ 様 ・ C安倍晋三 様 ・ D麻生太郎 様 ・ E菅義偉 様 ・ F甘利明 様 ・ G下村博文 様 ・ H岸田文雄 様　　　　　　　　　　　　　　　　　　　　　　　　　　　　　　　　　　　　　　　　　　　　　　　　　２０１４年４月　知性バイオリズム</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バイオリズムグラフ</dc:title>
  <dc:subject/>
  <dc:creator>hikari</dc:creator>
  <cp:keywords/>
  <dc:description/>
  <cp:lastModifiedBy>hikari</cp:lastModifiedBy>
  <cp:lastPrinted>2009-02-15T04:33:06Z</cp:lastPrinted>
  <dcterms:created xsi:type="dcterms:W3CDTF">2001-06-08T00:46:11Z</dcterms:created>
  <dcterms:modified xsi:type="dcterms:W3CDTF">2014-04-25T14:02:41Z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